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3" sheetId="115" r:id="rId1"/>
    <sheet name="ИНП2023" sheetId="61" r:id="rId2"/>
    <sheet name="ИБР2023" sheetId="94" r:id="rId3"/>
  </sheets>
  <definedNames>
    <definedName name="_xlnm.Print_Titles" localSheetId="2">ИБР2023!$A:$B</definedName>
    <definedName name="_xlnm.Print_Titles" localSheetId="1">ИНП2023!$A:$B,ИНП2023!$3:$8</definedName>
    <definedName name="_xlnm.Print_Titles" localSheetId="0">'Регион ФФПП 2023'!$A:$B</definedName>
    <definedName name="_xlnm.Print_Area" localSheetId="2">ИБР2023!$A$1:$AR$20</definedName>
    <definedName name="_xlnm.Print_Area" localSheetId="1">ИНП2023!$A$1:$U$20</definedName>
    <definedName name="_xlnm.Print_Area" localSheetId="0">'Регион ФФПП 2023'!$A$1:$O$20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O16" i="94" l="1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P16" i="94" s="1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G15" i="94"/>
  <c r="I15" i="94" s="1"/>
  <c r="E15" i="94"/>
  <c r="AP15" i="94" s="1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I14" i="94"/>
  <c r="G14" i="94"/>
  <c r="E14" i="94"/>
  <c r="AP14" i="94" s="1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G13" i="94"/>
  <c r="I13" i="94" s="1"/>
  <c r="E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P12" i="94" s="1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G11" i="94"/>
  <c r="I11" i="94" s="1"/>
  <c r="E11" i="94"/>
  <c r="AP11" i="94" s="1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P10" i="94" s="1"/>
  <c r="AO9" i="94"/>
  <c r="AL9" i="94"/>
  <c r="AI9" i="94"/>
  <c r="AD9" i="94"/>
  <c r="AB9" i="94"/>
  <c r="Z9" i="94"/>
  <c r="X9" i="94"/>
  <c r="V9" i="94"/>
  <c r="T9" i="94"/>
  <c r="R9" i="94"/>
  <c r="P9" i="94"/>
  <c r="N9" i="94"/>
  <c r="L9" i="94"/>
  <c r="I9" i="94"/>
  <c r="G9" i="94"/>
  <c r="E9" i="94"/>
  <c r="AP9" i="94" s="1"/>
  <c r="AQ12" i="94" l="1"/>
  <c r="AQ9" i="94"/>
  <c r="AQ11" i="94"/>
  <c r="AQ14" i="94"/>
  <c r="AQ15" i="94"/>
  <c r="AQ10" i="94"/>
  <c r="AQ16" i="94"/>
  <c r="AP13" i="94"/>
  <c r="AQ13" i="94" l="1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7" i="94" l="1"/>
  <c r="AO18" i="94"/>
  <c r="AO19" i="94"/>
  <c r="AJ51" i="94"/>
  <c r="AL19" i="94"/>
  <c r="AL18" i="94"/>
  <c r="AL17" i="94"/>
  <c r="AI17" i="94"/>
  <c r="AI18" i="94"/>
  <c r="AI19" i="94"/>
  <c r="AC51" i="94"/>
  <c r="AL20" i="94" l="1"/>
  <c r="AG51" i="94"/>
  <c r="L17" i="94" l="1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L11" i="115" l="1"/>
  <c r="C17" i="94"/>
  <c r="C18" i="94"/>
  <c r="C19" i="94"/>
  <c r="L20" i="94" l="1"/>
  <c r="AD18" i="94"/>
  <c r="AB18" i="94"/>
  <c r="X18" i="94"/>
  <c r="R18" i="94"/>
  <c r="N18" i="94"/>
  <c r="Z18" i="94"/>
  <c r="V18" i="94"/>
  <c r="T18" i="94"/>
  <c r="P18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G19" i="94"/>
  <c r="I19" i="94" s="1"/>
  <c r="E19" i="94"/>
  <c r="G18" i="94"/>
  <c r="I18" i="94" s="1"/>
  <c r="E18" i="94"/>
  <c r="G17" i="94"/>
  <c r="I17" i="94" s="1"/>
  <c r="E17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7" i="94" l="1"/>
  <c r="AP19" i="94"/>
  <c r="E20" i="94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P20" i="94"/>
  <c r="AQ17" i="94"/>
  <c r="O20" i="61"/>
  <c r="AR10" i="94" l="1"/>
  <c r="AR12" i="94"/>
  <c r="E15" i="115" s="1"/>
  <c r="AR11" i="94"/>
  <c r="AR15" i="94"/>
  <c r="AR16" i="94"/>
  <c r="AR9" i="94"/>
  <c r="E12" i="115" s="1"/>
  <c r="AR14" i="94"/>
  <c r="AR13" i="94"/>
  <c r="AR20" i="94"/>
  <c r="E20" i="115" s="1"/>
  <c r="E16" i="115"/>
  <c r="AR17" i="94"/>
  <c r="E13" i="115"/>
  <c r="G13" i="115" s="1"/>
  <c r="E17" i="115"/>
  <c r="E19" i="115"/>
  <c r="AR18" i="94"/>
  <c r="E14" i="115"/>
  <c r="G14" i="115" s="1"/>
  <c r="E18" i="115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7" i="115"/>
  <c r="L16" i="115"/>
  <c r="L19" i="115"/>
  <c r="L15" i="115"/>
  <c r="L18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<sst xmlns="http://schemas.openxmlformats.org/spreadsheetml/2006/main" count="295" uniqueCount="163">
  <si>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</si>
  <si>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</si>
  <si>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</si>
  <si>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</si>
  <si>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</si>
  <si>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</si>
  <si>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</si>
  <si>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</si>
  <si>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</si>
  <si>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</si>
  <si>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</si>
  <si>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</si>
  <si>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</si>
  <si>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</si>
  <si>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</si>
  <si>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</si>
  <si>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</si>
  <si>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</si>
  <si>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</si>
  <si>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</si>
  <si>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</si>
  <si>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</si>
  <si>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</si>
  <si>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</si>
  <si>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</si>
  <si>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</si>
  <si>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</si>
  <si>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</si>
  <si>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</si>
  <si>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</si>
  <si>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</si>
  <si>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</si>
  <si>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</si>
  <si>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</si>
  <si>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</si>
  <si>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</si>
  <si>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</si>
  <si>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</si>
  <si>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</si>
  <si>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</si>
  <si>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</si>
  <si>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</si>
  <si>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</si>
  <si>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</si>
  <si>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</si>
  <si>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</si>
  <si>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</si>
  <si>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</si>
  <si>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</si>
  <si>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</si>
  <si>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</si>
  <si>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</si>
  <si>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</si>
  <si>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</si>
  <si>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</si>
  <si>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</si>
  <si>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</si>
  <si>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</si>
  <si>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</si>
  <si>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</si>
  <si>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</si>
  <si>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</si>
  <si>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</si>
  <si>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</si>
  <si>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</si>
  <si>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</si>
  <si>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</si>
  <si>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</si>
  <si>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</si>
  <si>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</si>
  <si>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</si>
  <si>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</si>
  <si>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</si>
  <si>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</si>
  <si>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</si>
  <si>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</si>
  <si>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</si>
  <si>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</si>
  <si>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</si>
  <si>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</si>
  <si>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</si>
  <si>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</si>
  <si>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</si>
  <si>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</si>
  <si>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</si>
  <si>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</si>
  <si>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</si>
  <si>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</si>
  <si>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</si>
  <si>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</si>
  <si>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</si>
  <si>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</si>
  <si>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</si>
  <si>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</si>
  <si>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</si>
  <si>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</si>
  <si>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</si>
  <si>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</si>
  <si>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</si>
  <si>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</si>
  <si>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</si>
  <si>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</si>
  <si>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</si>
  <si>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</si>
  <si>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</si>
  <si>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</si>
  <si>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</si>
  <si>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</si>
  <si>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</si>
  <si>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</si>
  <si>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</si>
  <si>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</si>
  <si>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</si>
  <si>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</si>
  <si>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</si>
  <si>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</si>
  <si>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</si>
  <si>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</si>
  <si>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</si>
  <si>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</si>
  <si>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</si>
  <si>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</si>
  <si>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</si>
  <si>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</si>
  <si>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</si>
  <si>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</si>
  <si>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</si>
  <si>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</si>
  <si>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</si>
  <si>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</si>
  <si>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</si>
  <si>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</si>
  <si>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</si>
  <si>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</si>
  <si>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</si>
  <si>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</si>
  <si>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</si>
  <si>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</si>
  <si>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</si>
  <si>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</si>
  <si>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</si>
  <si>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</si>
  <si>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</si>
  <si>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</si>
  <si>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</si>
  <si>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</si>
  <si>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</si>
  <si>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</si>
  <si>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</si>
  <si>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</si>
  <si>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</si>
  <si>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</si>
  <si>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</si>
  <si>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</si>
  <si>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Расходы на организацию строительства и содержание муниципального жилищного фонда</t>
  </si>
  <si>
    <t>)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</si>
  <si>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2023год</t>
    </r>
  </si>
  <si>
    <t>РАСЧЕТ индекса налогового потенциала на 2023 год</t>
  </si>
  <si>
    <t>РАСЧЕТ индекса бюджетных расходов на 2023 год</t>
  </si>
  <si>
    <t xml:space="preserve">Доля налога в оценке ФОТ (2020 год) </t>
  </si>
  <si>
    <t>Численность постоянного населения на 1.01.2020, чел.</t>
  </si>
  <si>
    <t>Численность постоянного населения на 01.01.2020  чел.</t>
  </si>
  <si>
    <t>Численность постоянного населения на 01.01.2020 г.,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</si>
</sst>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4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2" fillId="0" borderId="1" xfId="2" applyNumberFormat="1" applyFont="1" applyFill="1" applyBorder="1" applyAlignment="1">
      <alignment horizontal="right" wrapText="1"/>
    </xf>
    <xf numFmtId="3" fontId="44" fillId="2" borderId="1" xfId="2" applyNumberFormat="1" applyFont="1" applyFill="1" applyBorder="1"/>
    <xf numFmtId="167" fontId="52" fillId="0" borderId="1" xfId="2" applyNumberFormat="1" applyFont="1" applyFill="1" applyBorder="1" applyAlignment="1">
      <alignment horizontal="right" wrapText="1"/>
    </xf>
    <xf numFmtId="10" fontId="52" fillId="0" borderId="1" xfId="2" applyNumberFormat="1" applyFont="1" applyFill="1" applyBorder="1" applyAlignment="1">
      <alignment wrapText="1"/>
    </xf>
    <xf numFmtId="167" fontId="52" fillId="0" borderId="1" xfId="2" applyNumberFormat="1" applyFont="1" applyFill="1" applyBorder="1" applyAlignment="1">
      <alignment wrapText="1"/>
    </xf>
    <xf numFmtId="167" fontId="53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51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50" fillId="2" borderId="6" xfId="2" applyFont="1" applyFill="1" applyBorder="1" applyAlignment="1">
      <alignment horizontal="center" vertical="center" wrapText="1"/>
    </xf>
    <xf numFmtId="0" fontId="50" fillId="2" borderId="2" xfId="2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center" vertical="center" wrapText="1"/>
    </xf>
    <xf numFmtId="0" fontId="51" fillId="2" borderId="6" xfId="2" applyFont="1" applyFill="1" applyBorder="1" applyAlignment="1">
      <alignment horizontal="center" vertical="center" wrapText="1"/>
    </xf>
    <xf numFmtId="0" fontId="51" fillId="2" borderId="2" xfId="2" applyFont="1" applyFill="1" applyBorder="1" applyAlignment="1">
      <alignment horizontal="center" vertical="center" wrapText="1"/>
    </xf>
    <xf numFmtId="0" fontId="51" fillId="2" borderId="3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14" sqref="L14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6" t="s">
        <v>155</v>
      </c>
      <c r="B2" s="166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1.0225637953804236</v>
      </c>
      <c r="K2" s="90"/>
      <c r="L2" s="92">
        <v>1564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156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7" t="s">
        <v>1</v>
      </c>
      <c r="B7" s="167" t="s">
        <v>2</v>
      </c>
      <c r="C7" s="168" t="s">
        <v>162</v>
      </c>
      <c r="D7" s="167" t="s">
        <v>3</v>
      </c>
      <c r="E7" s="167" t="s">
        <v>22</v>
      </c>
      <c r="F7" s="167" t="s">
        <v>20</v>
      </c>
      <c r="G7" s="165" t="s">
        <v>23</v>
      </c>
      <c r="H7" s="167" t="s">
        <v>19</v>
      </c>
      <c r="I7" s="167" t="s">
        <v>100</v>
      </c>
      <c r="J7" s="167" t="s">
        <v>21</v>
      </c>
      <c r="K7" s="167" t="s">
        <v>97</v>
      </c>
      <c r="L7" s="10">
        <v>1</v>
      </c>
      <c r="M7" s="167" t="s">
        <v>138</v>
      </c>
      <c r="N7" s="165" t="s">
        <v>99</v>
      </c>
      <c r="O7" s="165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7"/>
      <c r="B8" s="167"/>
      <c r="C8" s="168"/>
      <c r="D8" s="167"/>
      <c r="E8" s="167"/>
      <c r="F8" s="167"/>
      <c r="G8" s="165"/>
      <c r="H8" s="167"/>
      <c r="I8" s="167"/>
      <c r="J8" s="167"/>
      <c r="K8" s="167"/>
      <c r="L8" s="165" t="s">
        <v>98</v>
      </c>
      <c r="M8" s="167"/>
      <c r="N8" s="165"/>
      <c r="O8" s="165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7"/>
      <c r="B9" s="167"/>
      <c r="C9" s="168"/>
      <c r="D9" s="167"/>
      <c r="E9" s="167"/>
      <c r="F9" s="167"/>
      <c r="G9" s="165"/>
      <c r="H9" s="167"/>
      <c r="I9" s="167"/>
      <c r="J9" s="167"/>
      <c r="K9" s="167"/>
      <c r="L9" s="170"/>
      <c r="M9" s="167"/>
      <c r="N9" s="165"/>
      <c r="O9" s="165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71" t="s">
        <v>41</v>
      </c>
      <c r="B10" s="172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73"/>
      <c r="B11" s="174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1564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5" t="s">
        <v>139</v>
      </c>
      <c r="C12" s="133">
        <v>13613</v>
      </c>
      <c r="D12" s="14">
        <f>ИНП2023!U9</f>
        <v>1.73631</v>
      </c>
      <c r="E12" s="14">
        <f>ИБР2023!AR9</f>
        <v>1.093</v>
      </c>
      <c r="F12" s="16">
        <f>ИНП2023!T9</f>
        <v>48788</v>
      </c>
      <c r="G12" s="17">
        <f>F12/E12</f>
        <v>44636.779505946935</v>
      </c>
      <c r="H12" s="20">
        <f>F12/C12</f>
        <v>3.5839271284801293</v>
      </c>
      <c r="I12" s="13">
        <f>D12/E12</f>
        <v>1.5885727355901189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1.5885727355901189</v>
      </c>
      <c r="N12" s="118">
        <f>ROUND((G12+L12),1)</f>
        <v>44636.800000000003</v>
      </c>
      <c r="O12" s="120">
        <f>ROUND(N12/C12,3)</f>
        <v>3.2789999999999999</v>
      </c>
    </row>
    <row r="13" spans="1:32" s="7" customFormat="1" ht="16.5" x14ac:dyDescent="0.25">
      <c r="A13" s="107">
        <v>2</v>
      </c>
      <c r="B13" s="155" t="s">
        <v>140</v>
      </c>
      <c r="C13" s="133">
        <v>5565</v>
      </c>
      <c r="D13" s="14">
        <f>ИНП2023!U10</f>
        <v>0.53066000000000002</v>
      </c>
      <c r="E13" s="14">
        <f>ИБР2023!AR10</f>
        <v>1.5320199999999999</v>
      </c>
      <c r="F13" s="16">
        <f>ИНП2023!T10</f>
        <v>6095.55</v>
      </c>
      <c r="G13" s="17">
        <f t="shared" ref="G13:G19" si="2">F13/E13</f>
        <v>3978.7665957363483</v>
      </c>
      <c r="H13" s="20">
        <f t="shared" ref="H13:H19" si="3">F13/C13</f>
        <v>1.0953369272237197</v>
      </c>
      <c r="I13" s="13">
        <f t="shared" ref="I13:I19" si="4">D13/E13</f>
        <v>0.34637929008759677</v>
      </c>
      <c r="J13" s="115">
        <f t="shared" ref="J13:J19" si="5">IF(I13&lt;$J$2,$J$2*($J$2-I13)*E13*C13,0)</f>
        <v>5895.0192884971802</v>
      </c>
      <c r="K13" s="15">
        <f t="shared" si="0"/>
        <v>0.6280290425288545</v>
      </c>
      <c r="L13" s="118">
        <f t="shared" si="1"/>
        <v>982</v>
      </c>
      <c r="M13" s="13">
        <f t="shared" ref="M13:M19" si="6">I13+L13/(C13*E13*$J$2)</f>
        <v>0.45901898670287844</v>
      </c>
      <c r="N13" s="118">
        <f t="shared" ref="N13:N19" si="7">ROUND((G13+L13),1)</f>
        <v>4960.8</v>
      </c>
      <c r="O13" s="158">
        <f t="shared" ref="O13:O19" si="8">ROUND(N13/C13,3)</f>
        <v>0.89100000000000001</v>
      </c>
    </row>
    <row r="14" spans="1:32" s="7" customFormat="1" ht="16.5" customHeight="1" x14ac:dyDescent="0.25">
      <c r="A14" s="107">
        <v>3</v>
      </c>
      <c r="B14" s="155" t="s">
        <v>141</v>
      </c>
      <c r="C14" s="133">
        <v>2513</v>
      </c>
      <c r="D14" s="14">
        <f>ИНП2023!U11</f>
        <v>0.27928999999999998</v>
      </c>
      <c r="E14" s="14">
        <f>ИБР2023!AR11</f>
        <v>0.70653999999999995</v>
      </c>
      <c r="F14" s="16">
        <f>ИНП2023!T11</f>
        <v>1448.7</v>
      </c>
      <c r="G14" s="17">
        <f t="shared" si="2"/>
        <v>2050.4146969739863</v>
      </c>
      <c r="H14" s="20">
        <f t="shared" si="3"/>
        <v>0.57648229208117785</v>
      </c>
      <c r="I14" s="13">
        <f t="shared" si="4"/>
        <v>0.3952925524386447</v>
      </c>
      <c r="J14" s="115">
        <f t="shared" si="5"/>
        <v>1138.8723068052427</v>
      </c>
      <c r="K14" s="15">
        <f t="shared" si="0"/>
        <v>0.12133037220101482</v>
      </c>
      <c r="L14" s="118">
        <f t="shared" si="1"/>
        <v>190</v>
      </c>
      <c r="M14" s="13">
        <f t="shared" si="6"/>
        <v>0.49994127859238291</v>
      </c>
      <c r="N14" s="118">
        <f t="shared" si="7"/>
        <v>2240.4</v>
      </c>
      <c r="O14" s="120">
        <f t="shared" si="8"/>
        <v>0.89200000000000002</v>
      </c>
    </row>
    <row r="15" spans="1:32" s="19" customFormat="1" ht="16.5" customHeight="1" x14ac:dyDescent="0.25">
      <c r="A15" s="108">
        <v>4</v>
      </c>
      <c r="B15" s="155" t="s">
        <v>142</v>
      </c>
      <c r="C15" s="133">
        <v>2935</v>
      </c>
      <c r="D15" s="14">
        <f>ИНП2023!U12</f>
        <v>0.54923</v>
      </c>
      <c r="E15" s="14">
        <f>ИБР2023!AR12</f>
        <v>0.70653999999999995</v>
      </c>
      <c r="F15" s="16">
        <f>ИНП2023!T12</f>
        <v>3327.33</v>
      </c>
      <c r="G15" s="26">
        <f t="shared" si="2"/>
        <v>4709.3299742406662</v>
      </c>
      <c r="H15" s="27">
        <f t="shared" si="3"/>
        <v>1.1336729131175469</v>
      </c>
      <c r="I15" s="28">
        <f t="shared" si="4"/>
        <v>0.77735160075862664</v>
      </c>
      <c r="J15" s="115">
        <f t="shared" si="5"/>
        <v>519.96886079630656</v>
      </c>
      <c r="K15" s="15">
        <f t="shared" si="0"/>
        <v>5.5395161543902699E-2</v>
      </c>
      <c r="L15" s="119">
        <f t="shared" si="1"/>
        <v>87</v>
      </c>
      <c r="M15" s="13">
        <f t="shared" si="6"/>
        <v>0.81837994407023418</v>
      </c>
      <c r="N15" s="118">
        <f t="shared" si="7"/>
        <v>4796.3</v>
      </c>
      <c r="O15" s="120">
        <f t="shared" si="8"/>
        <v>1.6339999999999999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5" t="s">
        <v>143</v>
      </c>
      <c r="C16" s="133">
        <v>2080</v>
      </c>
      <c r="D16" s="14">
        <f>ИНП2023!U13</f>
        <v>0.67339000000000004</v>
      </c>
      <c r="E16" s="14">
        <f>ИБР2023!AR13</f>
        <v>0.70653999999999995</v>
      </c>
      <c r="F16" s="16">
        <f>ИНП2023!T13</f>
        <v>2891.1</v>
      </c>
      <c r="G16" s="26">
        <f t="shared" si="2"/>
        <v>4091.9127013332582</v>
      </c>
      <c r="H16" s="27">
        <f t="shared" si="3"/>
        <v>1.3899519230769231</v>
      </c>
      <c r="I16" s="28">
        <f t="shared" si="4"/>
        <v>0.95308121267019574</v>
      </c>
      <c r="J16" s="115">
        <f t="shared" si="5"/>
        <v>104.41585624063666</v>
      </c>
      <c r="K16" s="15">
        <f t="shared" si="0"/>
        <v>1.1123999262834462E-2</v>
      </c>
      <c r="L16" s="119">
        <f t="shared" si="1"/>
        <v>17</v>
      </c>
      <c r="M16" s="13">
        <f t="shared" si="6"/>
        <v>0.96439370819148584</v>
      </c>
      <c r="N16" s="118">
        <f t="shared" si="7"/>
        <v>4108.8999999999996</v>
      </c>
      <c r="O16" s="120">
        <f t="shared" si="8"/>
        <v>1.9750000000000001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5" t="s">
        <v>144</v>
      </c>
      <c r="C17" s="133">
        <v>2904</v>
      </c>
      <c r="D17" s="14">
        <f>ИНП2023!U14</f>
        <v>0.28972999999999999</v>
      </c>
      <c r="E17" s="14">
        <f>ИБР2023!AR14</f>
        <v>0.70653999999999995</v>
      </c>
      <c r="F17" s="16">
        <f>ИНП2023!T14</f>
        <v>1736.66</v>
      </c>
      <c r="G17" s="26">
        <f t="shared" si="2"/>
        <v>2457.9783168681183</v>
      </c>
      <c r="H17" s="27">
        <f t="shared" si="3"/>
        <v>0.59802341597796149</v>
      </c>
      <c r="I17" s="28">
        <f t="shared" si="4"/>
        <v>0.41006878591445639</v>
      </c>
      <c r="J17" s="115">
        <f t="shared" si="5"/>
        <v>1285.0686612261495</v>
      </c>
      <c r="K17" s="15">
        <f t="shared" si="0"/>
        <v>0.13690547925237406</v>
      </c>
      <c r="L17" s="119">
        <f t="shared" si="1"/>
        <v>214</v>
      </c>
      <c r="M17" s="13">
        <f t="shared" si="6"/>
        <v>0.5120663958325542</v>
      </c>
      <c r="N17" s="118">
        <f t="shared" si="7"/>
        <v>2672</v>
      </c>
      <c r="O17" s="120">
        <f t="shared" si="8"/>
        <v>0.92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5" t="s">
        <v>145</v>
      </c>
      <c r="C18" s="133">
        <v>1404</v>
      </c>
      <c r="D18" s="14">
        <f>ИНП2023!U15</f>
        <v>0.60494000000000003</v>
      </c>
      <c r="E18" s="14">
        <f>ИБР2023!AR15</f>
        <v>0.70653999999999995</v>
      </c>
      <c r="F18" s="16">
        <f>ИНП2023!T15</f>
        <v>1753.12</v>
      </c>
      <c r="G18" s="26">
        <f t="shared" si="2"/>
        <v>2481.2749455091007</v>
      </c>
      <c r="H18" s="27">
        <f t="shared" si="3"/>
        <v>1.2486609686609687</v>
      </c>
      <c r="I18" s="28">
        <f t="shared" si="4"/>
        <v>0.85620063973731153</v>
      </c>
      <c r="J18" s="115">
        <f t="shared" si="5"/>
        <v>168.7529694409109</v>
      </c>
      <c r="K18" s="15">
        <f t="shared" si="0"/>
        <v>1.7978188133951689E-2</v>
      </c>
      <c r="L18" s="119">
        <f t="shared" si="1"/>
        <v>28</v>
      </c>
      <c r="M18" s="13">
        <f t="shared" si="6"/>
        <v>0.88380411464764908</v>
      </c>
      <c r="N18" s="118">
        <f t="shared" si="7"/>
        <v>2509.3000000000002</v>
      </c>
      <c r="O18" s="120">
        <f t="shared" si="8"/>
        <v>1.7869999999999999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5" t="s">
        <v>146</v>
      </c>
      <c r="C19" s="133">
        <v>2567</v>
      </c>
      <c r="D19" s="14">
        <f>ИНП2023!U16</f>
        <v>0.61792999999999998</v>
      </c>
      <c r="E19" s="14">
        <f>ИБР2023!AR16</f>
        <v>0.70653999999999995</v>
      </c>
      <c r="F19" s="16">
        <f>ИНП2023!T16</f>
        <v>3274.12</v>
      </c>
      <c r="G19" s="26">
        <f t="shared" si="2"/>
        <v>4634.0193053471849</v>
      </c>
      <c r="H19" s="27">
        <f t="shared" si="3"/>
        <v>1.2754655239579276</v>
      </c>
      <c r="I19" s="28">
        <f t="shared" si="4"/>
        <v>0.87458601070003117</v>
      </c>
      <c r="J19" s="115">
        <f t="shared" si="5"/>
        <v>274.44135581323985</v>
      </c>
      <c r="K19" s="15">
        <f t="shared" si="0"/>
        <v>2.9237757077067817E-2</v>
      </c>
      <c r="L19" s="119">
        <f t="shared" si="1"/>
        <v>46</v>
      </c>
      <c r="M19" s="13">
        <f t="shared" si="6"/>
        <v>0.89938904402978292</v>
      </c>
      <c r="N19" s="118">
        <f t="shared" si="7"/>
        <v>4680</v>
      </c>
      <c r="O19" s="120">
        <f t="shared" si="8"/>
        <v>1.823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9" t="s">
        <v>0</v>
      </c>
      <c r="B20" s="169"/>
      <c r="C20" s="134">
        <f>SUM(C12:C19)</f>
        <v>33581</v>
      </c>
      <c r="D20" s="117">
        <f>ИНП2023!U20</f>
        <v>1</v>
      </c>
      <c r="E20" s="117">
        <f>ИБР2023!AR20</f>
        <v>1</v>
      </c>
      <c r="F20" s="22">
        <f>SUM(F12:F19)</f>
        <v>69314.58</v>
      </c>
      <c r="G20" s="22">
        <f>SUM(G12:G19)</f>
        <v>69040.476041955597</v>
      </c>
      <c r="H20" s="24">
        <f>AVERAGE(H12:H19)</f>
        <v>1.3626901365720443</v>
      </c>
      <c r="I20" s="23">
        <f>AVERAGE(I12:I19)</f>
        <v>0.77519160348712268</v>
      </c>
      <c r="J20" s="22">
        <f>SUM(J12:J19)</f>
        <v>9386.5392988196654</v>
      </c>
      <c r="K20" s="116">
        <f>SUM(K12:K19)</f>
        <v>1</v>
      </c>
      <c r="L20" s="22">
        <f>SUM(L12:L19)</f>
        <v>1564</v>
      </c>
      <c r="M20" s="23">
        <f>AVERAGE(M12:M19)</f>
        <v>0.82819577595713578</v>
      </c>
      <c r="N20" s="22">
        <f>SUM(N12:N19)</f>
        <v>70604.500000000015</v>
      </c>
      <c r="O20" s="23">
        <f>AVERAGE(O12:O19)</f>
        <v>1.6501250000000001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B26" sqref="B26:B27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157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7" t="s">
        <v>1</v>
      </c>
      <c r="B4" s="167" t="s">
        <v>43</v>
      </c>
      <c r="C4" s="168" t="s">
        <v>161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67"/>
      <c r="B5" s="167"/>
      <c r="C5" s="168"/>
      <c r="D5" s="175" t="s">
        <v>33</v>
      </c>
      <c r="E5" s="175" t="s">
        <v>159</v>
      </c>
      <c r="F5" s="175" t="s">
        <v>44</v>
      </c>
      <c r="G5" s="176" t="s">
        <v>15</v>
      </c>
      <c r="H5" s="175" t="s">
        <v>47</v>
      </c>
      <c r="I5" s="167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67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67"/>
      <c r="B6" s="167"/>
      <c r="C6" s="168"/>
      <c r="D6" s="175"/>
      <c r="E6" s="175"/>
      <c r="F6" s="175"/>
      <c r="G6" s="176"/>
      <c r="H6" s="175"/>
      <c r="I6" s="167"/>
      <c r="J6" s="175"/>
      <c r="K6" s="176"/>
      <c r="L6" s="175"/>
      <c r="M6" s="175"/>
      <c r="N6" s="175"/>
      <c r="O6" s="176"/>
      <c r="P6" s="180"/>
      <c r="Q6" s="167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8"/>
      <c r="B8" s="178"/>
      <c r="C8" s="138" t="s">
        <v>40</v>
      </c>
      <c r="D8" s="40"/>
      <c r="E8" s="138"/>
      <c r="F8" s="138" t="s">
        <v>34</v>
      </c>
      <c r="G8" s="40"/>
      <c r="H8" s="40"/>
      <c r="I8" s="40"/>
      <c r="J8" s="138" t="s">
        <v>34</v>
      </c>
      <c r="K8" s="29"/>
      <c r="L8" s="40"/>
      <c r="M8" s="138" t="s">
        <v>34</v>
      </c>
      <c r="N8" s="138" t="s">
        <v>34</v>
      </c>
      <c r="O8" s="40"/>
      <c r="P8" s="40"/>
      <c r="Q8" s="40"/>
      <c r="R8" s="138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55" t="s">
        <v>139</v>
      </c>
      <c r="C9" s="133">
        <v>13613</v>
      </c>
      <c r="D9" s="161">
        <v>1467000</v>
      </c>
      <c r="E9" s="162">
        <v>0.13700000000000001</v>
      </c>
      <c r="F9" s="33">
        <v>0.1</v>
      </c>
      <c r="G9" s="35">
        <f>ROUND(D9*F9*E9,0)</f>
        <v>20098</v>
      </c>
      <c r="H9" s="163">
        <v>8724</v>
      </c>
      <c r="I9" s="41">
        <v>0</v>
      </c>
      <c r="J9" s="33">
        <v>1</v>
      </c>
      <c r="K9" s="35">
        <f>ROUND((H9+I9)*J9,0)</f>
        <v>8724</v>
      </c>
      <c r="L9" s="163">
        <v>908</v>
      </c>
      <c r="M9" s="33">
        <v>0.06</v>
      </c>
      <c r="N9" s="33">
        <v>0.5</v>
      </c>
      <c r="O9" s="35">
        <f>ROUND(L9*M9*N9,0)</f>
        <v>27</v>
      </c>
      <c r="P9" s="164">
        <v>15541</v>
      </c>
      <c r="Q9" s="164">
        <v>4398</v>
      </c>
      <c r="R9" s="33">
        <v>1</v>
      </c>
      <c r="S9" s="35">
        <f>ROUND((P9+Q9)*R9,0)</f>
        <v>19939</v>
      </c>
      <c r="T9" s="35">
        <f>G9+K9+O9+S9</f>
        <v>48788</v>
      </c>
      <c r="U9" s="36">
        <f t="shared" ref="U9:U16" si="0">ROUND((T9/C9)/($T$20/$C$20),5)</f>
        <v>1.73631</v>
      </c>
      <c r="V9" s="37"/>
      <c r="W9" s="38"/>
    </row>
    <row r="10" spans="1:23" s="25" customFormat="1" ht="16.5" x14ac:dyDescent="0.25">
      <c r="A10" s="31" t="s">
        <v>24</v>
      </c>
      <c r="B10" s="155" t="s">
        <v>140</v>
      </c>
      <c r="C10" s="133">
        <v>5565</v>
      </c>
      <c r="D10" s="161">
        <v>254100</v>
      </c>
      <c r="E10" s="162">
        <v>0.13059999999999999</v>
      </c>
      <c r="F10" s="33">
        <v>0.1</v>
      </c>
      <c r="G10" s="35">
        <f t="shared" ref="G10:G19" si="1">ROUND(D10*F10*E10,2)</f>
        <v>3318.55</v>
      </c>
      <c r="H10" s="163">
        <v>471</v>
      </c>
      <c r="I10" s="41">
        <v>0</v>
      </c>
      <c r="J10" s="33">
        <v>1</v>
      </c>
      <c r="K10" s="35">
        <f t="shared" ref="K10:K19" si="2">ROUND((H10+I10)*J10,0)</f>
        <v>471</v>
      </c>
      <c r="L10" s="163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64">
        <v>2306</v>
      </c>
      <c r="Q10" s="164">
        <v>0</v>
      </c>
      <c r="R10" s="33">
        <v>1</v>
      </c>
      <c r="S10" s="35">
        <f t="shared" ref="S10:S19" si="4">ROUND((P10+Q10)*R10,0)</f>
        <v>2306</v>
      </c>
      <c r="T10" s="35">
        <f t="shared" ref="T10:T19" si="5">G10+K10+O10+S10</f>
        <v>6095.55</v>
      </c>
      <c r="U10" s="36">
        <f t="shared" si="0"/>
        <v>0.53066000000000002</v>
      </c>
      <c r="V10" s="37"/>
      <c r="W10" s="38"/>
    </row>
    <row r="11" spans="1:23" s="25" customFormat="1" ht="16.5" x14ac:dyDescent="0.25">
      <c r="A11" s="31" t="s">
        <v>27</v>
      </c>
      <c r="B11" s="155" t="s">
        <v>141</v>
      </c>
      <c r="C11" s="133">
        <v>2513</v>
      </c>
      <c r="D11" s="161">
        <v>17100</v>
      </c>
      <c r="E11" s="162">
        <v>0.1424</v>
      </c>
      <c r="F11" s="33">
        <v>0.02</v>
      </c>
      <c r="G11" s="35">
        <f t="shared" si="1"/>
        <v>48.7</v>
      </c>
      <c r="H11" s="163">
        <v>308</v>
      </c>
      <c r="I11" s="41">
        <v>0</v>
      </c>
      <c r="J11" s="33">
        <v>1</v>
      </c>
      <c r="K11" s="35">
        <f t="shared" si="2"/>
        <v>308</v>
      </c>
      <c r="L11" s="163">
        <v>1813</v>
      </c>
      <c r="M11" s="33">
        <v>0.06</v>
      </c>
      <c r="N11" s="33">
        <v>0.3</v>
      </c>
      <c r="O11" s="35">
        <f t="shared" si="3"/>
        <v>33</v>
      </c>
      <c r="P11" s="164">
        <v>718</v>
      </c>
      <c r="Q11" s="164">
        <v>341</v>
      </c>
      <c r="R11" s="33">
        <v>1</v>
      </c>
      <c r="S11" s="35">
        <f t="shared" si="4"/>
        <v>1059</v>
      </c>
      <c r="T11" s="35">
        <f t="shared" si="5"/>
        <v>1448.7</v>
      </c>
      <c r="U11" s="36">
        <f t="shared" si="0"/>
        <v>0.27928999999999998</v>
      </c>
      <c r="V11" s="37"/>
      <c r="W11" s="38"/>
    </row>
    <row r="12" spans="1:23" s="25" customFormat="1" ht="16.5" x14ac:dyDescent="0.25">
      <c r="A12" s="31" t="s">
        <v>25</v>
      </c>
      <c r="B12" s="155" t="s">
        <v>142</v>
      </c>
      <c r="C12" s="133">
        <v>2935</v>
      </c>
      <c r="D12" s="161">
        <v>69000</v>
      </c>
      <c r="E12" s="162">
        <v>0.13139999999999999</v>
      </c>
      <c r="F12" s="33">
        <v>0.02</v>
      </c>
      <c r="G12" s="35">
        <f t="shared" si="1"/>
        <v>181.33</v>
      </c>
      <c r="H12" s="163">
        <v>184</v>
      </c>
      <c r="I12" s="41">
        <v>0</v>
      </c>
      <c r="J12" s="33">
        <v>1</v>
      </c>
      <c r="K12" s="35">
        <f t="shared" si="2"/>
        <v>184</v>
      </c>
      <c r="L12" s="163">
        <v>1171</v>
      </c>
      <c r="M12" s="33">
        <v>0.06</v>
      </c>
      <c r="N12" s="33">
        <v>0.3</v>
      </c>
      <c r="O12" s="35">
        <f t="shared" si="3"/>
        <v>21</v>
      </c>
      <c r="P12" s="164">
        <v>1770</v>
      </c>
      <c r="Q12" s="164">
        <v>1171</v>
      </c>
      <c r="R12" s="33">
        <v>1</v>
      </c>
      <c r="S12" s="35">
        <f t="shared" si="4"/>
        <v>2941</v>
      </c>
      <c r="T12" s="35">
        <f t="shared" si="5"/>
        <v>3327.33</v>
      </c>
      <c r="U12" s="36">
        <f t="shared" si="0"/>
        <v>0.54923</v>
      </c>
      <c r="V12" s="37"/>
      <c r="W12" s="38"/>
    </row>
    <row r="13" spans="1:23" s="25" customFormat="1" ht="16.5" x14ac:dyDescent="0.25">
      <c r="A13" s="31" t="s">
        <v>29</v>
      </c>
      <c r="B13" s="155" t="s">
        <v>143</v>
      </c>
      <c r="C13" s="133">
        <v>2080</v>
      </c>
      <c r="D13" s="161">
        <v>88000</v>
      </c>
      <c r="E13" s="162">
        <v>0.15459999999999999</v>
      </c>
      <c r="F13" s="33">
        <v>0.02</v>
      </c>
      <c r="G13" s="35">
        <f t="shared" si="1"/>
        <v>272.10000000000002</v>
      </c>
      <c r="H13" s="163">
        <v>135</v>
      </c>
      <c r="I13" s="41">
        <v>0</v>
      </c>
      <c r="J13" s="33">
        <v>1</v>
      </c>
      <c r="K13" s="35">
        <f t="shared" si="2"/>
        <v>135</v>
      </c>
      <c r="L13" s="163">
        <v>194</v>
      </c>
      <c r="M13" s="33">
        <v>0.06</v>
      </c>
      <c r="N13" s="33">
        <v>0.3</v>
      </c>
      <c r="O13" s="35">
        <f t="shared" si="3"/>
        <v>3</v>
      </c>
      <c r="P13" s="164">
        <v>1852</v>
      </c>
      <c r="Q13" s="164">
        <v>629</v>
      </c>
      <c r="R13" s="33">
        <v>1</v>
      </c>
      <c r="S13" s="35">
        <f t="shared" si="4"/>
        <v>2481</v>
      </c>
      <c r="T13" s="35">
        <f t="shared" si="5"/>
        <v>2891.1</v>
      </c>
      <c r="U13" s="36">
        <f t="shared" si="0"/>
        <v>0.67339000000000004</v>
      </c>
      <c r="V13" s="37"/>
      <c r="W13" s="38"/>
    </row>
    <row r="14" spans="1:23" s="25" customFormat="1" ht="16.5" x14ac:dyDescent="0.25">
      <c r="A14" s="31" t="s">
        <v>30</v>
      </c>
      <c r="B14" s="155" t="s">
        <v>144</v>
      </c>
      <c r="C14" s="133">
        <v>2904</v>
      </c>
      <c r="D14" s="161">
        <v>267000</v>
      </c>
      <c r="E14" s="162">
        <v>8.8700000000000001E-2</v>
      </c>
      <c r="F14" s="33">
        <v>0.02</v>
      </c>
      <c r="G14" s="35">
        <f t="shared" si="1"/>
        <v>473.66</v>
      </c>
      <c r="H14" s="163">
        <v>291</v>
      </c>
      <c r="I14" s="41">
        <v>0</v>
      </c>
      <c r="J14" s="33">
        <v>1</v>
      </c>
      <c r="K14" s="35">
        <f t="shared" si="2"/>
        <v>291</v>
      </c>
      <c r="L14" s="163">
        <v>380</v>
      </c>
      <c r="M14" s="33">
        <v>0.06</v>
      </c>
      <c r="N14" s="33">
        <v>0.3</v>
      </c>
      <c r="O14" s="35">
        <f t="shared" si="3"/>
        <v>7</v>
      </c>
      <c r="P14" s="164">
        <v>965</v>
      </c>
      <c r="Q14" s="164">
        <v>0</v>
      </c>
      <c r="R14" s="33">
        <v>1</v>
      </c>
      <c r="S14" s="35">
        <f t="shared" si="4"/>
        <v>965</v>
      </c>
      <c r="T14" s="35">
        <f t="shared" si="5"/>
        <v>1736.66</v>
      </c>
      <c r="U14" s="36">
        <f t="shared" si="0"/>
        <v>0.28972999999999999</v>
      </c>
      <c r="V14" s="37"/>
      <c r="W14" s="38"/>
    </row>
    <row r="15" spans="1:23" s="25" customFormat="1" ht="16.5" x14ac:dyDescent="0.25">
      <c r="A15" s="31" t="s">
        <v>26</v>
      </c>
      <c r="B15" s="155" t="s">
        <v>145</v>
      </c>
      <c r="C15" s="133">
        <v>1404</v>
      </c>
      <c r="D15" s="161">
        <v>88300</v>
      </c>
      <c r="E15" s="162">
        <v>0.13880000000000001</v>
      </c>
      <c r="F15" s="33">
        <v>0.02</v>
      </c>
      <c r="G15" s="35">
        <f t="shared" si="1"/>
        <v>245.12</v>
      </c>
      <c r="H15" s="163">
        <v>35</v>
      </c>
      <c r="I15" s="41">
        <v>0</v>
      </c>
      <c r="J15" s="33">
        <v>1</v>
      </c>
      <c r="K15" s="35">
        <f t="shared" si="2"/>
        <v>35</v>
      </c>
      <c r="L15" s="163">
        <v>3706</v>
      </c>
      <c r="M15" s="33">
        <v>0.06</v>
      </c>
      <c r="N15" s="33">
        <v>0.3</v>
      </c>
      <c r="O15" s="35">
        <f t="shared" si="3"/>
        <v>67</v>
      </c>
      <c r="P15" s="164">
        <v>1091</v>
      </c>
      <c r="Q15" s="164">
        <v>315</v>
      </c>
      <c r="R15" s="33">
        <v>1</v>
      </c>
      <c r="S15" s="35">
        <f t="shared" si="4"/>
        <v>1406</v>
      </c>
      <c r="T15" s="35">
        <f t="shared" si="5"/>
        <v>1753.12</v>
      </c>
      <c r="U15" s="36">
        <f t="shared" si="0"/>
        <v>0.60494000000000003</v>
      </c>
      <c r="V15" s="37"/>
      <c r="W15" s="38"/>
    </row>
    <row r="16" spans="1:23" s="25" customFormat="1" ht="16.5" x14ac:dyDescent="0.25">
      <c r="A16" s="31" t="s">
        <v>31</v>
      </c>
      <c r="B16" s="155" t="s">
        <v>146</v>
      </c>
      <c r="C16" s="133">
        <v>2567</v>
      </c>
      <c r="D16" s="161">
        <v>144500</v>
      </c>
      <c r="E16" s="162">
        <v>0.1298</v>
      </c>
      <c r="F16" s="33">
        <v>0.02</v>
      </c>
      <c r="G16" s="35">
        <f t="shared" si="1"/>
        <v>375.12</v>
      </c>
      <c r="H16" s="163">
        <v>377</v>
      </c>
      <c r="I16" s="41">
        <v>0</v>
      </c>
      <c r="J16" s="33">
        <v>1</v>
      </c>
      <c r="K16" s="35">
        <f t="shared" si="2"/>
        <v>377</v>
      </c>
      <c r="L16" s="163">
        <v>313</v>
      </c>
      <c r="M16" s="33">
        <v>0.06</v>
      </c>
      <c r="N16" s="33">
        <v>0.3</v>
      </c>
      <c r="O16" s="35">
        <f t="shared" si="3"/>
        <v>6</v>
      </c>
      <c r="P16" s="164">
        <v>1885</v>
      </c>
      <c r="Q16" s="164">
        <v>631</v>
      </c>
      <c r="R16" s="33">
        <v>1</v>
      </c>
      <c r="S16" s="35">
        <f t="shared" si="4"/>
        <v>2516</v>
      </c>
      <c r="T16" s="35">
        <f t="shared" si="5"/>
        <v>3274.12</v>
      </c>
      <c r="U16" s="36">
        <f t="shared" si="0"/>
        <v>0.61792999999999998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9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7" t="s">
        <v>0</v>
      </c>
      <c r="B20" s="177"/>
      <c r="C20" s="151">
        <f>SUM(C9:C19)</f>
        <v>33581</v>
      </c>
      <c r="D20" s="160">
        <f>SUM(D9:D19)</f>
        <v>2395000</v>
      </c>
      <c r="E20" s="147" t="s">
        <v>7</v>
      </c>
      <c r="F20" s="147" t="s">
        <v>7</v>
      </c>
      <c r="G20" s="146">
        <f>SUM(G9:G19)</f>
        <v>25012.579999999998</v>
      </c>
      <c r="H20" s="160">
        <f>SUM(H9:H19)</f>
        <v>10525</v>
      </c>
      <c r="I20" s="146">
        <f>SUM(I9:I19)</f>
        <v>0</v>
      </c>
      <c r="J20" s="147" t="s">
        <v>7</v>
      </c>
      <c r="K20" s="146">
        <f>SUM(K9:K19)</f>
        <v>10525</v>
      </c>
      <c r="L20" s="146">
        <f>SUM(L9:L19)</f>
        <v>8485</v>
      </c>
      <c r="M20" s="147" t="s">
        <v>7</v>
      </c>
      <c r="N20" s="147" t="s">
        <v>7</v>
      </c>
      <c r="O20" s="146">
        <f>SUM(O9:O19)</f>
        <v>164</v>
      </c>
      <c r="P20" s="160">
        <f>SUM(P9:P19)</f>
        <v>26128</v>
      </c>
      <c r="Q20" s="146">
        <f>SUM(Q9:Q19)</f>
        <v>7485</v>
      </c>
      <c r="R20" s="147" t="s">
        <v>7</v>
      </c>
      <c r="S20" s="146">
        <f>SUM(S9:S19)</f>
        <v>33613</v>
      </c>
      <c r="T20" s="146">
        <f>SUM(T9:T19)</f>
        <v>69314.58</v>
      </c>
      <c r="U20" s="152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topLeftCell="A2" zoomScale="115" zoomScaleNormal="115" zoomScaleSheetLayoutView="70" workbookViewId="0">
      <pane xSplit="3" topLeftCell="G1" activePane="topRight" state="frozenSplit"/>
      <selection activeCell="A4" sqref="A4"/>
      <selection pane="topRight" activeCell="J4" sqref="J4:J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158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46"/>
      <c r="N3" s="127">
        <f>L3+1</f>
        <v>4</v>
      </c>
      <c r="O3" s="46"/>
      <c r="P3" s="127">
        <f>N3+1</f>
        <v>5</v>
      </c>
      <c r="Q3" s="46"/>
      <c r="R3" s="127">
        <f>P3+1</f>
        <v>6</v>
      </c>
      <c r="S3" s="46"/>
      <c r="T3" s="127">
        <f>R3+1</f>
        <v>7</v>
      </c>
      <c r="U3" s="46"/>
      <c r="V3" s="127">
        <f>T3+1</f>
        <v>8</v>
      </c>
      <c r="W3" s="46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67" t="s">
        <v>1</v>
      </c>
      <c r="B4" s="167" t="s">
        <v>2</v>
      </c>
      <c r="C4" s="183" t="s">
        <v>160</v>
      </c>
      <c r="D4" s="181" t="s">
        <v>135</v>
      </c>
      <c r="E4" s="182" t="s">
        <v>102</v>
      </c>
      <c r="F4" s="168" t="s">
        <v>103</v>
      </c>
      <c r="G4" s="168" t="s">
        <v>104</v>
      </c>
      <c r="H4" s="187" t="s">
        <v>135</v>
      </c>
      <c r="I4" s="182" t="s">
        <v>153</v>
      </c>
      <c r="J4" s="168" t="s">
        <v>105</v>
      </c>
      <c r="K4" s="181" t="s">
        <v>135</v>
      </c>
      <c r="L4" s="182" t="s">
        <v>149</v>
      </c>
      <c r="M4" s="181" t="s">
        <v>135</v>
      </c>
      <c r="N4" s="182" t="s">
        <v>147</v>
      </c>
      <c r="O4" s="181" t="s">
        <v>135</v>
      </c>
      <c r="P4" s="184" t="s">
        <v>152</v>
      </c>
      <c r="Q4" s="187" t="s">
        <v>135</v>
      </c>
      <c r="R4" s="184" t="s">
        <v>106</v>
      </c>
      <c r="S4" s="181" t="s">
        <v>135</v>
      </c>
      <c r="T4" s="182" t="s">
        <v>148</v>
      </c>
      <c r="U4" s="181" t="s">
        <v>135</v>
      </c>
      <c r="V4" s="183" t="s">
        <v>62</v>
      </c>
      <c r="W4" s="181" t="s">
        <v>135</v>
      </c>
      <c r="X4" s="182" t="s">
        <v>107</v>
      </c>
      <c r="Y4" s="181" t="s">
        <v>135</v>
      </c>
      <c r="Z4" s="182" t="s">
        <v>108</v>
      </c>
      <c r="AA4" s="181" t="s">
        <v>135</v>
      </c>
      <c r="AB4" s="182" t="s">
        <v>109</v>
      </c>
      <c r="AC4" s="181" t="s">
        <v>135</v>
      </c>
      <c r="AD4" s="182" t="s">
        <v>151</v>
      </c>
      <c r="AE4" s="183" t="s">
        <v>110</v>
      </c>
      <c r="AF4" s="183" t="s">
        <v>111</v>
      </c>
      <c r="AG4" s="168" t="s">
        <v>113</v>
      </c>
      <c r="AH4" s="181" t="s">
        <v>135</v>
      </c>
      <c r="AI4" s="182" t="s">
        <v>112</v>
      </c>
      <c r="AJ4" s="168" t="s">
        <v>116</v>
      </c>
      <c r="AK4" s="168" t="s">
        <v>63</v>
      </c>
      <c r="AL4" s="183" t="s">
        <v>114</v>
      </c>
      <c r="AM4" s="168" t="s">
        <v>115</v>
      </c>
      <c r="AN4" s="181" t="s">
        <v>135</v>
      </c>
      <c r="AO4" s="182" t="s">
        <v>154</v>
      </c>
      <c r="AP4" s="183" t="s">
        <v>64</v>
      </c>
      <c r="AQ4" s="183" t="s">
        <v>10</v>
      </c>
      <c r="AR4" s="183" t="s">
        <v>36</v>
      </c>
    </row>
    <row r="5" spans="1:46" ht="13.15" customHeight="1" x14ac:dyDescent="0.2">
      <c r="A5" s="167"/>
      <c r="B5" s="190"/>
      <c r="C5" s="183"/>
      <c r="D5" s="181"/>
      <c r="E5" s="182"/>
      <c r="F5" s="168"/>
      <c r="G5" s="168"/>
      <c r="H5" s="188"/>
      <c r="I5" s="182"/>
      <c r="J5" s="168"/>
      <c r="K5" s="181"/>
      <c r="L5" s="182"/>
      <c r="M5" s="181"/>
      <c r="N5" s="182"/>
      <c r="O5" s="181"/>
      <c r="P5" s="185"/>
      <c r="Q5" s="188"/>
      <c r="R5" s="185"/>
      <c r="S5" s="181"/>
      <c r="T5" s="182"/>
      <c r="U5" s="181"/>
      <c r="V5" s="183"/>
      <c r="W5" s="181"/>
      <c r="X5" s="182"/>
      <c r="Y5" s="181"/>
      <c r="Z5" s="182"/>
      <c r="AA5" s="181"/>
      <c r="AB5" s="182"/>
      <c r="AC5" s="181"/>
      <c r="AD5" s="182"/>
      <c r="AE5" s="183"/>
      <c r="AF5" s="183"/>
      <c r="AG5" s="168"/>
      <c r="AH5" s="181"/>
      <c r="AI5" s="182"/>
      <c r="AJ5" s="168"/>
      <c r="AK5" s="168"/>
      <c r="AL5" s="183"/>
      <c r="AM5" s="168"/>
      <c r="AN5" s="181"/>
      <c r="AO5" s="182"/>
      <c r="AP5" s="183"/>
      <c r="AQ5" s="183"/>
      <c r="AR5" s="183"/>
    </row>
    <row r="6" spans="1:46" ht="152.25" customHeight="1" x14ac:dyDescent="0.2">
      <c r="A6" s="167"/>
      <c r="B6" s="167"/>
      <c r="C6" s="183"/>
      <c r="D6" s="181"/>
      <c r="E6" s="182"/>
      <c r="F6" s="168"/>
      <c r="G6" s="168"/>
      <c r="H6" s="189"/>
      <c r="I6" s="182"/>
      <c r="J6" s="168"/>
      <c r="K6" s="181"/>
      <c r="L6" s="182"/>
      <c r="M6" s="181"/>
      <c r="N6" s="182"/>
      <c r="O6" s="181"/>
      <c r="P6" s="186"/>
      <c r="Q6" s="189"/>
      <c r="R6" s="186"/>
      <c r="S6" s="181"/>
      <c r="T6" s="182"/>
      <c r="U6" s="181"/>
      <c r="V6" s="183"/>
      <c r="W6" s="181"/>
      <c r="X6" s="182"/>
      <c r="Y6" s="181"/>
      <c r="Z6" s="182"/>
      <c r="AA6" s="181"/>
      <c r="AB6" s="182"/>
      <c r="AC6" s="181"/>
      <c r="AD6" s="182"/>
      <c r="AE6" s="183"/>
      <c r="AF6" s="183"/>
      <c r="AG6" s="168"/>
      <c r="AH6" s="181"/>
      <c r="AI6" s="182"/>
      <c r="AJ6" s="168"/>
      <c r="AK6" s="168"/>
      <c r="AL6" s="183"/>
      <c r="AM6" s="168"/>
      <c r="AN6" s="181"/>
      <c r="AO6" s="182"/>
      <c r="AP6" s="183"/>
      <c r="AQ6" s="183"/>
      <c r="AR6" s="183"/>
      <c r="AT6" s="7"/>
    </row>
    <row r="7" spans="1:46" x14ac:dyDescent="0.2">
      <c r="A7" s="192" t="s">
        <v>65</v>
      </c>
      <c r="B7" s="193"/>
      <c r="C7" s="154">
        <v>1</v>
      </c>
      <c r="D7" s="154">
        <v>2</v>
      </c>
      <c r="E7" s="154" t="s">
        <v>117</v>
      </c>
      <c r="F7" s="154" t="s">
        <v>118</v>
      </c>
      <c r="G7" s="136" t="s">
        <v>119</v>
      </c>
      <c r="H7" s="154">
        <v>6</v>
      </c>
      <c r="I7" s="154" t="s">
        <v>136</v>
      </c>
      <c r="J7" s="154">
        <v>8</v>
      </c>
      <c r="K7" s="154">
        <v>9</v>
      </c>
      <c r="L7" s="154" t="s">
        <v>150</v>
      </c>
      <c r="M7" s="154">
        <v>11</v>
      </c>
      <c r="N7" s="154" t="s">
        <v>120</v>
      </c>
      <c r="O7" s="154">
        <v>13</v>
      </c>
      <c r="P7" s="154" t="s">
        <v>121</v>
      </c>
      <c r="Q7" s="154">
        <v>15</v>
      </c>
      <c r="R7" s="154" t="s">
        <v>122</v>
      </c>
      <c r="S7" s="154">
        <v>17</v>
      </c>
      <c r="T7" s="154" t="s">
        <v>123</v>
      </c>
      <c r="U7" s="154">
        <v>19</v>
      </c>
      <c r="V7" s="154" t="s">
        <v>124</v>
      </c>
      <c r="W7" s="154">
        <v>21</v>
      </c>
      <c r="X7" s="154" t="s">
        <v>125</v>
      </c>
      <c r="Y7" s="154">
        <v>23</v>
      </c>
      <c r="Z7" s="154" t="s">
        <v>126</v>
      </c>
      <c r="AA7" s="154">
        <v>25</v>
      </c>
      <c r="AB7" s="154" t="s">
        <v>127</v>
      </c>
      <c r="AC7" s="154">
        <v>27</v>
      </c>
      <c r="AD7" s="154" t="s">
        <v>128</v>
      </c>
      <c r="AE7" s="154">
        <v>29</v>
      </c>
      <c r="AF7" s="154">
        <v>30</v>
      </c>
      <c r="AG7" s="154">
        <v>31</v>
      </c>
      <c r="AH7" s="154">
        <v>32</v>
      </c>
      <c r="AI7" s="154" t="s">
        <v>129</v>
      </c>
      <c r="AJ7" s="154">
        <v>34</v>
      </c>
      <c r="AK7" s="154">
        <v>35</v>
      </c>
      <c r="AL7" s="154" t="s">
        <v>130</v>
      </c>
      <c r="AM7" s="154">
        <v>37</v>
      </c>
      <c r="AN7" s="154">
        <v>38</v>
      </c>
      <c r="AO7" s="154" t="s">
        <v>131</v>
      </c>
      <c r="AP7" s="154" t="s">
        <v>132</v>
      </c>
      <c r="AQ7" s="154" t="s">
        <v>133</v>
      </c>
      <c r="AR7" s="137" t="s">
        <v>134</v>
      </c>
    </row>
    <row r="8" spans="1:46" ht="13.5" x14ac:dyDescent="0.25">
      <c r="A8" s="191"/>
      <c r="B8" s="191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4"/>
      <c r="AO8" s="140"/>
      <c r="AP8" s="141"/>
      <c r="AQ8" s="141"/>
      <c r="AR8" s="142" t="s">
        <v>8</v>
      </c>
    </row>
    <row r="9" spans="1:46" s="131" customFormat="1" ht="15.75" x14ac:dyDescent="0.25">
      <c r="A9" s="66">
        <v>1</v>
      </c>
      <c r="B9" s="155" t="s">
        <v>139</v>
      </c>
      <c r="C9" s="143">
        <v>13613</v>
      </c>
      <c r="D9" s="78">
        <v>0</v>
      </c>
      <c r="E9" s="59">
        <f>C9*D9</f>
        <v>0</v>
      </c>
      <c r="F9" s="70"/>
      <c r="G9" s="70">
        <f>F9*18</f>
        <v>0</v>
      </c>
      <c r="H9" s="156">
        <v>1.1204099999999999</v>
      </c>
      <c r="I9" s="59">
        <f>C9*H9</f>
        <v>15252.141329999999</v>
      </c>
      <c r="J9" s="132"/>
      <c r="K9" s="156">
        <v>1.6199999999999999E-2</v>
      </c>
      <c r="L9" s="59">
        <f>C9*K9</f>
        <v>220.53059999999999</v>
      </c>
      <c r="M9" s="78">
        <v>2E-3</v>
      </c>
      <c r="N9" s="157">
        <f t="shared" ref="N9:N16" si="0">C9*M9</f>
        <v>27.225999999999999</v>
      </c>
      <c r="O9" s="156"/>
      <c r="P9" s="59">
        <f>C9*O9</f>
        <v>0</v>
      </c>
      <c r="Q9" s="156">
        <v>0</v>
      </c>
      <c r="R9" s="59">
        <f>C9*Q9</f>
        <v>0</v>
      </c>
      <c r="S9" s="78"/>
      <c r="T9" s="59">
        <f>C9*S9</f>
        <v>0</v>
      </c>
      <c r="U9" s="156"/>
      <c r="V9" s="59">
        <f>C9*U9</f>
        <v>0</v>
      </c>
      <c r="W9" s="156">
        <v>1.2699999999999999E-2</v>
      </c>
      <c r="X9" s="59">
        <f>C9*W9</f>
        <v>172.88509999999999</v>
      </c>
      <c r="Y9" s="156">
        <v>0.26910000000000001</v>
      </c>
      <c r="Z9" s="59">
        <f>C9*Y9</f>
        <v>3663.2583</v>
      </c>
      <c r="AA9" s="78">
        <v>0.3291</v>
      </c>
      <c r="AB9" s="59">
        <f>C9*AA9</f>
        <v>4480.0383000000002</v>
      </c>
      <c r="AC9" s="156">
        <v>2.7000000000000001E-3</v>
      </c>
      <c r="AD9" s="59">
        <f t="shared" ref="AD9:AD16" si="1">C9*AC9</f>
        <v>36.755099999999999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6">
        <v>1.09E-2</v>
      </c>
      <c r="AO9" s="59">
        <f>C9*AN9</f>
        <v>148.3817</v>
      </c>
      <c r="AP9" s="61">
        <f>E9+I9+L9+N9+P9+R9+T9+V9+X9+Z9+AB9+AD9+AE9+AF9+AI9+AL9+AO9</f>
        <v>24001.21643</v>
      </c>
      <c r="AQ9" s="144">
        <f t="shared" ref="AQ9:AQ16" si="2">AP9/C9</f>
        <v>1.76311</v>
      </c>
      <c r="AR9" s="145">
        <f t="shared" ref="AR9:AR16" si="3">ROUND((AP9/C9)/($AP$20/$C$20),5)</f>
        <v>1.093</v>
      </c>
      <c r="AS9" s="130"/>
    </row>
    <row r="10" spans="1:46" s="131" customFormat="1" ht="15.75" x14ac:dyDescent="0.25">
      <c r="A10" s="66">
        <v>2</v>
      </c>
      <c r="B10" s="155" t="s">
        <v>140</v>
      </c>
      <c r="C10" s="143">
        <v>5565</v>
      </c>
      <c r="D10" s="78">
        <v>0.57199999999999995</v>
      </c>
      <c r="E10" s="59">
        <f t="shared" ref="E10:E16" si="4">C10*D10</f>
        <v>3183.18</v>
      </c>
      <c r="F10" s="70"/>
      <c r="G10" s="70">
        <f t="shared" ref="G10:G16" si="5">F10*18</f>
        <v>0</v>
      </c>
      <c r="H10" s="156">
        <v>1.1204099999999999</v>
      </c>
      <c r="I10" s="59">
        <f>C10*H10</f>
        <v>6235.0816499999992</v>
      </c>
      <c r="J10" s="132"/>
      <c r="K10" s="156">
        <v>1.6199999999999999E-2</v>
      </c>
      <c r="L10" s="59">
        <f>C10*K10</f>
        <v>90.152999999999992</v>
      </c>
      <c r="M10" s="78">
        <v>2E-3</v>
      </c>
      <c r="N10" s="157">
        <f t="shared" si="0"/>
        <v>11.13</v>
      </c>
      <c r="O10" s="156"/>
      <c r="P10" s="59">
        <f t="shared" ref="P10:P16" si="6">C10*O10</f>
        <v>0</v>
      </c>
      <c r="Q10" s="156">
        <v>0.13167999999999999</v>
      </c>
      <c r="R10" s="59">
        <f t="shared" ref="R10:R16" si="7">C10*Q10</f>
        <v>732.79919999999993</v>
      </c>
      <c r="S10" s="156">
        <v>4.4999999999999997E-3</v>
      </c>
      <c r="T10" s="59">
        <f t="shared" ref="T10:T16" si="8">C10*S10</f>
        <v>25.042499999999997</v>
      </c>
      <c r="U10" s="156"/>
      <c r="V10" s="59">
        <f t="shared" ref="V10:V16" si="9">C10*U10</f>
        <v>0</v>
      </c>
      <c r="W10" s="156">
        <v>1.2699999999999999E-2</v>
      </c>
      <c r="X10" s="59">
        <f t="shared" ref="X10:X16" si="10">C10*W10</f>
        <v>70.6755</v>
      </c>
      <c r="Y10" s="156">
        <v>0.26910000000000001</v>
      </c>
      <c r="Z10" s="59">
        <f t="shared" ref="Z10:Z16" si="11">C10*Y10</f>
        <v>1497.5415</v>
      </c>
      <c r="AA10" s="78">
        <v>0.3291</v>
      </c>
      <c r="AB10" s="59">
        <f t="shared" ref="AB10:AB16" si="12">C10*AA10</f>
        <v>1831.4415000000001</v>
      </c>
      <c r="AC10" s="156">
        <v>2.7000000000000001E-3</v>
      </c>
      <c r="AD10" s="59">
        <f t="shared" si="1"/>
        <v>15.025500000000001</v>
      </c>
      <c r="AE10" s="59"/>
      <c r="AF10" s="59"/>
      <c r="AG10" s="70"/>
      <c r="AH10" s="78"/>
      <c r="AI10" s="59">
        <f t="shared" ref="AI10" si="13">AG10*AH10</f>
        <v>0</v>
      </c>
      <c r="AJ10" s="70"/>
      <c r="AK10" s="78"/>
      <c r="AL10" s="59">
        <f t="shared" ref="AL10:AL16" si="14">AJ10*AK10</f>
        <v>0</v>
      </c>
      <c r="AM10" s="64"/>
      <c r="AN10" s="156">
        <v>1.09E-2</v>
      </c>
      <c r="AO10" s="59">
        <f>C10*AN10</f>
        <v>60.658499999999997</v>
      </c>
      <c r="AP10" s="61">
        <f t="shared" ref="AP10:AP16" si="15">E10+I10+L10+N10+P10+R10+T10+V10+X10+Z10+AB10+AD10+AE10+AF10+AI10+AL10+AO10</f>
        <v>13752.728849999996</v>
      </c>
      <c r="AQ10" s="144">
        <f t="shared" si="2"/>
        <v>2.4712899999999993</v>
      </c>
      <c r="AR10" s="145">
        <f t="shared" si="3"/>
        <v>1.5320199999999999</v>
      </c>
      <c r="AS10" s="130"/>
    </row>
    <row r="11" spans="1:46" s="131" customFormat="1" ht="15.75" x14ac:dyDescent="0.25">
      <c r="A11" s="66">
        <v>3</v>
      </c>
      <c r="B11" s="155" t="s">
        <v>141</v>
      </c>
      <c r="C11" s="143">
        <v>2513</v>
      </c>
      <c r="D11" s="78">
        <v>0.67200000000000004</v>
      </c>
      <c r="E11" s="59">
        <f t="shared" si="4"/>
        <v>1688.7360000000001</v>
      </c>
      <c r="F11" s="70"/>
      <c r="G11" s="70">
        <f t="shared" si="5"/>
        <v>0</v>
      </c>
      <c r="H11" s="70"/>
      <c r="I11" s="59">
        <f t="shared" ref="I11:I16" si="16">G11*H11/1000*1%</f>
        <v>0</v>
      </c>
      <c r="J11" s="132"/>
      <c r="K11" s="132">
        <v>0</v>
      </c>
      <c r="L11" s="59">
        <f t="shared" ref="L11:L16" si="17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6">
        <v>0.10032000000000001</v>
      </c>
      <c r="R11" s="59">
        <f t="shared" si="7"/>
        <v>252.10416000000001</v>
      </c>
      <c r="S11" s="78"/>
      <c r="T11" s="59">
        <f t="shared" si="8"/>
        <v>0</v>
      </c>
      <c r="U11" s="156"/>
      <c r="V11" s="59">
        <f t="shared" si="9"/>
        <v>0</v>
      </c>
      <c r="W11" s="156">
        <v>1.6999999999999999E-3</v>
      </c>
      <c r="X11" s="59">
        <f t="shared" si="10"/>
        <v>4.2721</v>
      </c>
      <c r="Y11" s="156">
        <v>0.189</v>
      </c>
      <c r="Z11" s="59">
        <f t="shared" si="11"/>
        <v>474.95699999999999</v>
      </c>
      <c r="AA11" s="78">
        <v>0.1424</v>
      </c>
      <c r="AB11" s="59">
        <f t="shared" si="12"/>
        <v>357.85120000000001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86.195899999999995</v>
      </c>
      <c r="AJ11" s="70"/>
      <c r="AK11" s="78"/>
      <c r="AL11" s="59">
        <f t="shared" si="14"/>
        <v>0</v>
      </c>
      <c r="AM11" s="64"/>
      <c r="AN11" s="64"/>
      <c r="AO11" s="59">
        <f t="shared" ref="AO11:AO16" si="18">AM11*AN11*12/1000</f>
        <v>0</v>
      </c>
      <c r="AP11" s="61">
        <f t="shared" si="15"/>
        <v>2864.1163600000004</v>
      </c>
      <c r="AQ11" s="144">
        <f t="shared" si="2"/>
        <v>1.1397200000000001</v>
      </c>
      <c r="AR11" s="145">
        <f t="shared" si="3"/>
        <v>0.70653999999999995</v>
      </c>
      <c r="AS11" s="130"/>
    </row>
    <row r="12" spans="1:46" s="131" customFormat="1" ht="15.75" x14ac:dyDescent="0.25">
      <c r="A12" s="66">
        <v>4</v>
      </c>
      <c r="B12" s="155" t="s">
        <v>142</v>
      </c>
      <c r="C12" s="143">
        <v>2935</v>
      </c>
      <c r="D12" s="78">
        <v>0.67200000000000004</v>
      </c>
      <c r="E12" s="59">
        <f t="shared" si="4"/>
        <v>1972.3200000000002</v>
      </c>
      <c r="F12" s="70"/>
      <c r="G12" s="70">
        <f t="shared" si="5"/>
        <v>0</v>
      </c>
      <c r="H12" s="70"/>
      <c r="I12" s="59">
        <f t="shared" si="16"/>
        <v>0</v>
      </c>
      <c r="J12" s="132"/>
      <c r="K12" s="132">
        <v>0</v>
      </c>
      <c r="L12" s="59">
        <f t="shared" si="17"/>
        <v>0</v>
      </c>
      <c r="M12" s="78"/>
      <c r="N12" s="59">
        <f t="shared" si="0"/>
        <v>0</v>
      </c>
      <c r="O12" s="78"/>
      <c r="P12" s="59">
        <f t="shared" si="6"/>
        <v>0</v>
      </c>
      <c r="Q12" s="156">
        <v>0.10032000000000001</v>
      </c>
      <c r="R12" s="59">
        <f>C12*Q12</f>
        <v>294.43920000000003</v>
      </c>
      <c r="S12" s="78"/>
      <c r="T12" s="59">
        <f t="shared" si="8"/>
        <v>0</v>
      </c>
      <c r="U12" s="156"/>
      <c r="V12" s="59">
        <f t="shared" si="9"/>
        <v>0</v>
      </c>
      <c r="W12" s="156">
        <v>1.6999999999999999E-3</v>
      </c>
      <c r="X12" s="59">
        <f t="shared" si="10"/>
        <v>4.9894999999999996</v>
      </c>
      <c r="Y12" s="156">
        <v>0.189</v>
      </c>
      <c r="Z12" s="59">
        <f t="shared" si="11"/>
        <v>554.71500000000003</v>
      </c>
      <c r="AA12" s="78">
        <v>0.1424</v>
      </c>
      <c r="AB12" s="59">
        <f t="shared" si="12"/>
        <v>417.94400000000002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100.67049999999999</v>
      </c>
      <c r="AJ12" s="70"/>
      <c r="AK12" s="78"/>
      <c r="AL12" s="59">
        <f t="shared" si="14"/>
        <v>0</v>
      </c>
      <c r="AM12" s="64"/>
      <c r="AN12" s="64"/>
      <c r="AO12" s="59">
        <f t="shared" si="18"/>
        <v>0</v>
      </c>
      <c r="AP12" s="61">
        <f t="shared" si="15"/>
        <v>3345.0782000000008</v>
      </c>
      <c r="AQ12" s="144">
        <f t="shared" si="2"/>
        <v>1.1397200000000003</v>
      </c>
      <c r="AR12" s="145">
        <f t="shared" si="3"/>
        <v>0.70653999999999995</v>
      </c>
      <c r="AS12" s="130"/>
    </row>
    <row r="13" spans="1:46" s="131" customFormat="1" ht="15.75" x14ac:dyDescent="0.25">
      <c r="A13" s="66">
        <v>5</v>
      </c>
      <c r="B13" s="155" t="s">
        <v>143</v>
      </c>
      <c r="C13" s="143">
        <v>2080</v>
      </c>
      <c r="D13" s="78">
        <v>0.67200000000000004</v>
      </c>
      <c r="E13" s="59">
        <f t="shared" si="4"/>
        <v>1397.76</v>
      </c>
      <c r="F13" s="70"/>
      <c r="G13" s="70">
        <f t="shared" si="5"/>
        <v>0</v>
      </c>
      <c r="H13" s="70"/>
      <c r="I13" s="59">
        <f t="shared" si="16"/>
        <v>0</v>
      </c>
      <c r="J13" s="132"/>
      <c r="K13" s="132">
        <v>0</v>
      </c>
      <c r="L13" s="59">
        <f t="shared" si="17"/>
        <v>0</v>
      </c>
      <c r="M13" s="78"/>
      <c r="N13" s="59">
        <f t="shared" si="0"/>
        <v>0</v>
      </c>
      <c r="O13" s="78"/>
      <c r="P13" s="59">
        <f t="shared" si="6"/>
        <v>0</v>
      </c>
      <c r="Q13" s="156">
        <v>0.10032000000000001</v>
      </c>
      <c r="R13" s="59">
        <f t="shared" si="7"/>
        <v>208.66560000000001</v>
      </c>
      <c r="S13" s="78"/>
      <c r="T13" s="59">
        <f t="shared" si="8"/>
        <v>0</v>
      </c>
      <c r="U13" s="156"/>
      <c r="V13" s="59">
        <f t="shared" si="9"/>
        <v>0</v>
      </c>
      <c r="W13" s="156">
        <v>1.6999999999999999E-3</v>
      </c>
      <c r="X13" s="59">
        <f t="shared" si="10"/>
        <v>3.5359999999999996</v>
      </c>
      <c r="Y13" s="156">
        <v>0.189</v>
      </c>
      <c r="Z13" s="59">
        <f t="shared" si="11"/>
        <v>393.12</v>
      </c>
      <c r="AA13" s="78">
        <v>0.1424</v>
      </c>
      <c r="AB13" s="59">
        <f t="shared" si="12"/>
        <v>296.19200000000001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71.343999999999994</v>
      </c>
      <c r="AJ13" s="70"/>
      <c r="AK13" s="78"/>
      <c r="AL13" s="59">
        <f t="shared" si="14"/>
        <v>0</v>
      </c>
      <c r="AM13" s="64"/>
      <c r="AN13" s="64"/>
      <c r="AO13" s="59">
        <f t="shared" si="18"/>
        <v>0</v>
      </c>
      <c r="AP13" s="61">
        <f t="shared" si="15"/>
        <v>2370.6176</v>
      </c>
      <c r="AQ13" s="144">
        <f t="shared" si="2"/>
        <v>1.1397200000000001</v>
      </c>
      <c r="AR13" s="145">
        <f t="shared" si="3"/>
        <v>0.70653999999999995</v>
      </c>
      <c r="AS13" s="130"/>
    </row>
    <row r="14" spans="1:46" s="131" customFormat="1" ht="15.75" x14ac:dyDescent="0.25">
      <c r="A14" s="66">
        <v>6</v>
      </c>
      <c r="B14" s="155" t="s">
        <v>144</v>
      </c>
      <c r="C14" s="143">
        <v>2904</v>
      </c>
      <c r="D14" s="78">
        <v>0.67200000000000004</v>
      </c>
      <c r="E14" s="59">
        <f t="shared" si="4"/>
        <v>1951.4880000000001</v>
      </c>
      <c r="F14" s="70"/>
      <c r="G14" s="70">
        <f t="shared" si="5"/>
        <v>0</v>
      </c>
      <c r="H14" s="70"/>
      <c r="I14" s="59">
        <f t="shared" si="16"/>
        <v>0</v>
      </c>
      <c r="J14" s="132"/>
      <c r="K14" s="132">
        <v>0</v>
      </c>
      <c r="L14" s="59">
        <f t="shared" si="17"/>
        <v>0</v>
      </c>
      <c r="M14" s="78"/>
      <c r="N14" s="59">
        <f t="shared" si="0"/>
        <v>0</v>
      </c>
      <c r="O14" s="78"/>
      <c r="P14" s="59">
        <f t="shared" si="6"/>
        <v>0</v>
      </c>
      <c r="Q14" s="156">
        <v>0.10032000000000001</v>
      </c>
      <c r="R14" s="59">
        <f t="shared" si="7"/>
        <v>291.32928000000004</v>
      </c>
      <c r="S14" s="78"/>
      <c r="T14" s="59">
        <f t="shared" si="8"/>
        <v>0</v>
      </c>
      <c r="U14" s="156"/>
      <c r="V14" s="59">
        <f t="shared" si="9"/>
        <v>0</v>
      </c>
      <c r="W14" s="156">
        <v>1.6999999999999999E-3</v>
      </c>
      <c r="X14" s="59">
        <f t="shared" si="10"/>
        <v>4.9367999999999999</v>
      </c>
      <c r="Y14" s="156">
        <v>0.189</v>
      </c>
      <c r="Z14" s="59">
        <f t="shared" si="11"/>
        <v>548.85599999999999</v>
      </c>
      <c r="AA14" s="78">
        <v>0.1424</v>
      </c>
      <c r="AB14" s="59">
        <f t="shared" si="12"/>
        <v>413.52960000000002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99.607199999999992</v>
      </c>
      <c r="AJ14" s="70"/>
      <c r="AK14" s="78"/>
      <c r="AL14" s="59">
        <f t="shared" si="14"/>
        <v>0</v>
      </c>
      <c r="AM14" s="64"/>
      <c r="AN14" s="64"/>
      <c r="AO14" s="59">
        <f t="shared" si="18"/>
        <v>0</v>
      </c>
      <c r="AP14" s="61">
        <f t="shared" si="15"/>
        <v>3309.7468800000001</v>
      </c>
      <c r="AQ14" s="144">
        <f t="shared" si="2"/>
        <v>1.1397200000000001</v>
      </c>
      <c r="AR14" s="145">
        <f t="shared" si="3"/>
        <v>0.70653999999999995</v>
      </c>
      <c r="AS14" s="130"/>
    </row>
    <row r="15" spans="1:46" s="131" customFormat="1" ht="15.75" x14ac:dyDescent="0.25">
      <c r="A15" s="66">
        <v>7</v>
      </c>
      <c r="B15" s="155" t="s">
        <v>145</v>
      </c>
      <c r="C15" s="143">
        <v>1404</v>
      </c>
      <c r="D15" s="78">
        <v>0.67200000000000004</v>
      </c>
      <c r="E15" s="59">
        <f t="shared" si="4"/>
        <v>943.48800000000006</v>
      </c>
      <c r="F15" s="70"/>
      <c r="G15" s="70">
        <f t="shared" si="5"/>
        <v>0</v>
      </c>
      <c r="H15" s="70"/>
      <c r="I15" s="59">
        <f t="shared" si="16"/>
        <v>0</v>
      </c>
      <c r="J15" s="132"/>
      <c r="K15" s="132">
        <v>0</v>
      </c>
      <c r="L15" s="59">
        <f t="shared" si="17"/>
        <v>0</v>
      </c>
      <c r="M15" s="78"/>
      <c r="N15" s="59">
        <f t="shared" si="0"/>
        <v>0</v>
      </c>
      <c r="O15" s="78"/>
      <c r="P15" s="59">
        <f t="shared" si="6"/>
        <v>0</v>
      </c>
      <c r="Q15" s="156">
        <v>0.10032000000000001</v>
      </c>
      <c r="R15" s="59">
        <f t="shared" si="7"/>
        <v>140.84928000000002</v>
      </c>
      <c r="S15" s="78"/>
      <c r="T15" s="59">
        <f t="shared" si="8"/>
        <v>0</v>
      </c>
      <c r="U15" s="156"/>
      <c r="V15" s="59">
        <f t="shared" si="9"/>
        <v>0</v>
      </c>
      <c r="W15" s="156">
        <v>1.6999999999999999E-3</v>
      </c>
      <c r="X15" s="59">
        <f t="shared" si="10"/>
        <v>2.3868</v>
      </c>
      <c r="Y15" s="156">
        <v>0.189</v>
      </c>
      <c r="Z15" s="59">
        <f t="shared" si="11"/>
        <v>265.35599999999999</v>
      </c>
      <c r="AA15" s="78">
        <v>0.1424</v>
      </c>
      <c r="AB15" s="59">
        <f t="shared" si="12"/>
        <v>199.92959999999999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48.157199999999996</v>
      </c>
      <c r="AJ15" s="70"/>
      <c r="AK15" s="78"/>
      <c r="AL15" s="59">
        <f t="shared" si="14"/>
        <v>0</v>
      </c>
      <c r="AM15" s="64"/>
      <c r="AN15" s="64"/>
      <c r="AO15" s="59">
        <f t="shared" si="18"/>
        <v>0</v>
      </c>
      <c r="AP15" s="61">
        <f t="shared" si="15"/>
        <v>1600.1668800000002</v>
      </c>
      <c r="AQ15" s="144">
        <f t="shared" si="2"/>
        <v>1.1397200000000001</v>
      </c>
      <c r="AR15" s="145">
        <f t="shared" si="3"/>
        <v>0.70653999999999995</v>
      </c>
      <c r="AS15" s="130"/>
    </row>
    <row r="16" spans="1:46" s="131" customFormat="1" ht="15.75" x14ac:dyDescent="0.25">
      <c r="A16" s="66">
        <v>8</v>
      </c>
      <c r="B16" s="155" t="s">
        <v>146</v>
      </c>
      <c r="C16" s="143">
        <v>2567</v>
      </c>
      <c r="D16" s="78">
        <v>0.67200000000000004</v>
      </c>
      <c r="E16" s="59">
        <f t="shared" si="4"/>
        <v>1725.0240000000001</v>
      </c>
      <c r="F16" s="70"/>
      <c r="G16" s="70">
        <f t="shared" si="5"/>
        <v>0</v>
      </c>
      <c r="H16" s="70"/>
      <c r="I16" s="59">
        <f t="shared" si="16"/>
        <v>0</v>
      </c>
      <c r="J16" s="132"/>
      <c r="K16" s="132">
        <v>0</v>
      </c>
      <c r="L16" s="59">
        <f t="shared" si="17"/>
        <v>0</v>
      </c>
      <c r="M16" s="78"/>
      <c r="N16" s="59">
        <f t="shared" si="0"/>
        <v>0</v>
      </c>
      <c r="O16" s="78"/>
      <c r="P16" s="59">
        <f t="shared" si="6"/>
        <v>0</v>
      </c>
      <c r="Q16" s="156">
        <v>0.10032000000000001</v>
      </c>
      <c r="R16" s="59">
        <f t="shared" si="7"/>
        <v>257.52144000000004</v>
      </c>
      <c r="S16" s="78"/>
      <c r="T16" s="59">
        <f t="shared" si="8"/>
        <v>0</v>
      </c>
      <c r="U16" s="156"/>
      <c r="V16" s="59">
        <f t="shared" si="9"/>
        <v>0</v>
      </c>
      <c r="W16" s="156">
        <v>1.6999999999999999E-3</v>
      </c>
      <c r="X16" s="59">
        <f t="shared" si="10"/>
        <v>4.3639000000000001</v>
      </c>
      <c r="Y16" s="156">
        <v>0.189</v>
      </c>
      <c r="Z16" s="59">
        <f t="shared" si="11"/>
        <v>485.16300000000001</v>
      </c>
      <c r="AA16" s="78">
        <v>0.1424</v>
      </c>
      <c r="AB16" s="59">
        <f t="shared" si="12"/>
        <v>365.54079999999999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88.048099999999991</v>
      </c>
      <c r="AJ16" s="70"/>
      <c r="AK16" s="78"/>
      <c r="AL16" s="59">
        <f t="shared" si="14"/>
        <v>0</v>
      </c>
      <c r="AM16" s="64"/>
      <c r="AN16" s="64"/>
      <c r="AO16" s="59">
        <f t="shared" si="18"/>
        <v>0</v>
      </c>
      <c r="AP16" s="61">
        <f t="shared" si="15"/>
        <v>2925.6612400000004</v>
      </c>
      <c r="AQ16" s="144">
        <f t="shared" si="2"/>
        <v>1.1397200000000001</v>
      </c>
      <c r="AR16" s="145">
        <f t="shared" si="3"/>
        <v>0.70653999999999995</v>
      </c>
      <c r="AS16" s="130"/>
    </row>
    <row r="17" spans="1:45" s="131" customFormat="1" ht="15.75" x14ac:dyDescent="0.25">
      <c r="A17" s="66">
        <v>9</v>
      </c>
      <c r="B17" s="18"/>
      <c r="C17" s="143">
        <f>ИНП2023!C17</f>
        <v>0</v>
      </c>
      <c r="D17" s="78"/>
      <c r="E17" s="59">
        <f t="shared" ref="E17:E19" si="20">C17*D17</f>
        <v>0</v>
      </c>
      <c r="F17" s="70"/>
      <c r="G17" s="70">
        <f t="shared" ref="G17:G19" si="21">F17*18</f>
        <v>0</v>
      </c>
      <c r="H17" s="70"/>
      <c r="I17" s="59">
        <f t="shared" ref="I17:I19" si="22">G17*H17/1000*1%</f>
        <v>0</v>
      </c>
      <c r="J17" s="132"/>
      <c r="K17" s="132"/>
      <c r="L17" s="59">
        <f t="shared" ref="L17:L19" si="23">J17*K17</f>
        <v>0</v>
      </c>
      <c r="M17" s="78"/>
      <c r="N17" s="59">
        <f t="shared" ref="N17:N19" si="24">C17*M17</f>
        <v>0</v>
      </c>
      <c r="O17" s="78"/>
      <c r="P17" s="59">
        <f t="shared" ref="P17:P19" si="25">C17*O17</f>
        <v>0</v>
      </c>
      <c r="Q17" s="78"/>
      <c r="R17" s="59">
        <f t="shared" ref="R17:R19" si="26">C17*Q17</f>
        <v>0</v>
      </c>
      <c r="S17" s="78"/>
      <c r="T17" s="59">
        <f t="shared" ref="T17:T19" si="27">C17*S17</f>
        <v>0</v>
      </c>
      <c r="U17" s="78"/>
      <c r="V17" s="59">
        <f t="shared" ref="V17:V19" si="28">C17*U17</f>
        <v>0</v>
      </c>
      <c r="W17" s="78"/>
      <c r="X17" s="59">
        <f t="shared" ref="X17:X19" si="29">C17*W17</f>
        <v>0</v>
      </c>
      <c r="Y17" s="156"/>
      <c r="Z17" s="59">
        <f t="shared" ref="Z17:Z19" si="30">C17*Y17</f>
        <v>0</v>
      </c>
      <c r="AA17" s="78"/>
      <c r="AB17" s="59">
        <f t="shared" ref="AB17:AB19" si="31">C17*AA17</f>
        <v>0</v>
      </c>
      <c r="AC17" s="78"/>
      <c r="AD17" s="59">
        <f t="shared" ref="AD17:AD19" si="32">C17*AC17</f>
        <v>0</v>
      </c>
      <c r="AE17" s="59"/>
      <c r="AF17" s="59"/>
      <c r="AG17" s="70"/>
      <c r="AH17" s="78"/>
      <c r="AI17" s="59">
        <f t="shared" ref="AI17:AI19" si="33">AG17*AH17</f>
        <v>0</v>
      </c>
      <c r="AJ17" s="70"/>
      <c r="AK17" s="78"/>
      <c r="AL17" s="59">
        <f t="shared" ref="AL17:AL19" si="34">AJ17*AK17</f>
        <v>0</v>
      </c>
      <c r="AM17" s="64"/>
      <c r="AN17" s="64"/>
      <c r="AO17" s="59">
        <f t="shared" ref="AO17:AO19" si="35">AM17*AN17*12/1000</f>
        <v>0</v>
      </c>
      <c r="AP17" s="61">
        <f t="shared" ref="AP17:AP19" si="36">E17+I17+L17+N17+P17+R17+T17+V17+X17+Z17+AB17+AD17+AE17+AF17+AI17+AL17+AO17</f>
        <v>0</v>
      </c>
      <c r="AQ17" s="144" t="e">
        <f t="shared" ref="AQ17:AQ19" si="37">AP17/C17</f>
        <v>#DIV/0!</v>
      </c>
      <c r="AR17" s="145" t="e">
        <f t="shared" ref="AR17:AR19" si="38">ROUND((AP17/C17)/($AP$20/$C$20),5)</f>
        <v>#DIV/0!</v>
      </c>
      <c r="AS17" s="130"/>
    </row>
    <row r="18" spans="1:45" s="131" customFormat="1" ht="15.75" x14ac:dyDescent="0.25">
      <c r="A18" s="66">
        <v>10</v>
      </c>
      <c r="B18" s="18"/>
      <c r="C18" s="143">
        <f>ИНП2023!C18</f>
        <v>0</v>
      </c>
      <c r="D18" s="78"/>
      <c r="E18" s="59">
        <f t="shared" si="20"/>
        <v>0</v>
      </c>
      <c r="F18" s="70"/>
      <c r="G18" s="70">
        <f t="shared" si="21"/>
        <v>0</v>
      </c>
      <c r="H18" s="70"/>
      <c r="I18" s="59">
        <f t="shared" si="22"/>
        <v>0</v>
      </c>
      <c r="J18" s="132"/>
      <c r="K18" s="132"/>
      <c r="L18" s="59">
        <f t="shared" si="23"/>
        <v>0</v>
      </c>
      <c r="M18" s="78"/>
      <c r="N18" s="59">
        <f t="shared" si="24"/>
        <v>0</v>
      </c>
      <c r="O18" s="78"/>
      <c r="P18" s="59">
        <f t="shared" si="25"/>
        <v>0</v>
      </c>
      <c r="Q18" s="78"/>
      <c r="R18" s="59">
        <f t="shared" si="26"/>
        <v>0</v>
      </c>
      <c r="S18" s="78"/>
      <c r="T18" s="59">
        <f t="shared" si="27"/>
        <v>0</v>
      </c>
      <c r="U18" s="78"/>
      <c r="V18" s="59">
        <f t="shared" si="28"/>
        <v>0</v>
      </c>
      <c r="W18" s="78"/>
      <c r="X18" s="59">
        <f t="shared" si="29"/>
        <v>0</v>
      </c>
      <c r="Y18" s="156"/>
      <c r="Z18" s="59">
        <f t="shared" si="30"/>
        <v>0</v>
      </c>
      <c r="AA18" s="78"/>
      <c r="AB18" s="59">
        <f t="shared" si="31"/>
        <v>0</v>
      </c>
      <c r="AC18" s="78"/>
      <c r="AD18" s="59">
        <f t="shared" si="32"/>
        <v>0</v>
      </c>
      <c r="AE18" s="59"/>
      <c r="AF18" s="59"/>
      <c r="AG18" s="70"/>
      <c r="AH18" s="78"/>
      <c r="AI18" s="59">
        <f t="shared" si="33"/>
        <v>0</v>
      </c>
      <c r="AJ18" s="70"/>
      <c r="AK18" s="78"/>
      <c r="AL18" s="59">
        <f t="shared" si="34"/>
        <v>0</v>
      </c>
      <c r="AM18" s="64"/>
      <c r="AN18" s="64"/>
      <c r="AO18" s="59">
        <f t="shared" si="35"/>
        <v>0</v>
      </c>
      <c r="AP18" s="61">
        <f t="shared" si="36"/>
        <v>0</v>
      </c>
      <c r="AQ18" s="144" t="e">
        <f t="shared" si="37"/>
        <v>#DIV/0!</v>
      </c>
      <c r="AR18" s="145" t="e">
        <f t="shared" si="38"/>
        <v>#DIV/0!</v>
      </c>
      <c r="AS18" s="130"/>
    </row>
    <row r="19" spans="1:45" s="131" customFormat="1" ht="15.75" x14ac:dyDescent="0.25">
      <c r="A19" s="66">
        <v>11</v>
      </c>
      <c r="B19" s="18"/>
      <c r="C19" s="143">
        <f>ИНП2023!C19</f>
        <v>0</v>
      </c>
      <c r="D19" s="78"/>
      <c r="E19" s="59">
        <f t="shared" si="20"/>
        <v>0</v>
      </c>
      <c r="F19" s="70"/>
      <c r="G19" s="70">
        <f t="shared" si="21"/>
        <v>0</v>
      </c>
      <c r="H19" s="70"/>
      <c r="I19" s="59">
        <f t="shared" si="22"/>
        <v>0</v>
      </c>
      <c r="J19" s="132"/>
      <c r="K19" s="132"/>
      <c r="L19" s="59">
        <f t="shared" si="23"/>
        <v>0</v>
      </c>
      <c r="M19" s="78"/>
      <c r="N19" s="59">
        <f t="shared" si="24"/>
        <v>0</v>
      </c>
      <c r="O19" s="78"/>
      <c r="P19" s="59">
        <f t="shared" si="25"/>
        <v>0</v>
      </c>
      <c r="Q19" s="78"/>
      <c r="R19" s="59">
        <f t="shared" si="26"/>
        <v>0</v>
      </c>
      <c r="S19" s="78"/>
      <c r="T19" s="59">
        <f t="shared" si="27"/>
        <v>0</v>
      </c>
      <c r="U19" s="78"/>
      <c r="V19" s="59">
        <f t="shared" si="28"/>
        <v>0</v>
      </c>
      <c r="W19" s="78"/>
      <c r="X19" s="59">
        <f t="shared" si="29"/>
        <v>0</v>
      </c>
      <c r="Y19" s="156"/>
      <c r="Z19" s="59">
        <f t="shared" si="30"/>
        <v>0</v>
      </c>
      <c r="AA19" s="78"/>
      <c r="AB19" s="59">
        <f t="shared" si="31"/>
        <v>0</v>
      </c>
      <c r="AC19" s="78"/>
      <c r="AD19" s="59">
        <f t="shared" si="32"/>
        <v>0</v>
      </c>
      <c r="AE19" s="59"/>
      <c r="AF19" s="59"/>
      <c r="AG19" s="70"/>
      <c r="AH19" s="78"/>
      <c r="AI19" s="59">
        <f t="shared" si="33"/>
        <v>0</v>
      </c>
      <c r="AJ19" s="70"/>
      <c r="AK19" s="78"/>
      <c r="AL19" s="59">
        <f t="shared" si="34"/>
        <v>0</v>
      </c>
      <c r="AM19" s="64"/>
      <c r="AN19" s="64"/>
      <c r="AO19" s="59">
        <f t="shared" si="35"/>
        <v>0</v>
      </c>
      <c r="AP19" s="61">
        <f t="shared" si="36"/>
        <v>0</v>
      </c>
      <c r="AQ19" s="144" t="e">
        <f t="shared" si="37"/>
        <v>#DIV/0!</v>
      </c>
      <c r="AR19" s="145" t="e">
        <f t="shared" si="38"/>
        <v>#DIV/0!</v>
      </c>
      <c r="AS19" s="130"/>
    </row>
    <row r="20" spans="1:45" ht="15.75" x14ac:dyDescent="0.25">
      <c r="A20" s="177" t="s">
        <v>0</v>
      </c>
      <c r="B20" s="177"/>
      <c r="C20" s="146">
        <f>SUM(C9:C19)</f>
        <v>33581</v>
      </c>
      <c r="D20" s="147" t="s">
        <v>81</v>
      </c>
      <c r="E20" s="153">
        <f>SUM(E9:E19)</f>
        <v>12861.995999999999</v>
      </c>
      <c r="F20" s="148">
        <f>SUM(F9:F19)</f>
        <v>0</v>
      </c>
      <c r="G20" s="148">
        <f>SUM(G9:G19)</f>
        <v>0</v>
      </c>
      <c r="H20" s="147" t="s">
        <v>81</v>
      </c>
      <c r="I20" s="153">
        <f>SUM(I9:I19)</f>
        <v>21487.222979999999</v>
      </c>
      <c r="J20" s="148">
        <f>SUM(J9:J19)</f>
        <v>0</v>
      </c>
      <c r="K20" s="149" t="s">
        <v>7</v>
      </c>
      <c r="L20" s="153">
        <f>SUM(L9:L19)</f>
        <v>310.68359999999996</v>
      </c>
      <c r="M20" s="149" t="s">
        <v>7</v>
      </c>
      <c r="N20" s="153">
        <f t="shared" ref="N20:P20" si="39">SUM(N9:N19)</f>
        <v>38.356000000000002</v>
      </c>
      <c r="O20" s="149" t="s">
        <v>7</v>
      </c>
      <c r="P20" s="153">
        <f t="shared" si="39"/>
        <v>0</v>
      </c>
      <c r="Q20" s="149" t="s">
        <v>7</v>
      </c>
      <c r="R20" s="153">
        <f t="shared" ref="R20" si="40">SUM(R9:R19)</f>
        <v>2177.7081600000001</v>
      </c>
      <c r="S20" s="149" t="s">
        <v>7</v>
      </c>
      <c r="T20" s="153">
        <f t="shared" ref="T20" si="41">SUM(T9:T19)</f>
        <v>25.042499999999997</v>
      </c>
      <c r="U20" s="149" t="s">
        <v>7</v>
      </c>
      <c r="V20" s="153">
        <f t="shared" ref="V20" si="42">SUM(V9:V19)</f>
        <v>0</v>
      </c>
      <c r="W20" s="149" t="s">
        <v>7</v>
      </c>
      <c r="X20" s="153">
        <f t="shared" ref="X20" si="43">SUM(X9:X19)</f>
        <v>268.04569999999995</v>
      </c>
      <c r="Y20" s="149" t="s">
        <v>7</v>
      </c>
      <c r="Z20" s="153">
        <f t="shared" ref="Z20" si="44">SUM(Z9:Z19)</f>
        <v>7882.9668000000001</v>
      </c>
      <c r="AA20" s="149" t="s">
        <v>7</v>
      </c>
      <c r="AB20" s="153">
        <f t="shared" ref="AB20" si="45">SUM(AB9:AB19)</f>
        <v>8362.4670000000006</v>
      </c>
      <c r="AC20" s="149" t="s">
        <v>7</v>
      </c>
      <c r="AD20" s="153">
        <f t="shared" ref="AD20" si="46">SUM(AD9:AD19)</f>
        <v>51.7806</v>
      </c>
      <c r="AE20" s="153">
        <f t="shared" ref="AE20" si="47">SUM(AE9:AE19)</f>
        <v>0</v>
      </c>
      <c r="AF20" s="153">
        <f t="shared" ref="AF20" si="48">SUM(AF9:AF19)</f>
        <v>0</v>
      </c>
      <c r="AG20" s="146">
        <f>SUM(AG9:AG19)</f>
        <v>0</v>
      </c>
      <c r="AH20" s="149" t="s">
        <v>7</v>
      </c>
      <c r="AI20" s="153">
        <f t="shared" ref="AI20" si="49">SUM(AI9:AI19)</f>
        <v>494.02289999999994</v>
      </c>
      <c r="AJ20" s="146">
        <f>SUM(AJ9:AJ19)</f>
        <v>0</v>
      </c>
      <c r="AK20" s="149" t="s">
        <v>7</v>
      </c>
      <c r="AL20" s="153">
        <f t="shared" ref="AL20" si="50">SUM(AL9:AL19)</f>
        <v>0</v>
      </c>
      <c r="AM20" s="149" t="s">
        <v>7</v>
      </c>
      <c r="AN20" s="147" t="s">
        <v>81</v>
      </c>
      <c r="AO20" s="153">
        <f>SUM(AO9:AO19)</f>
        <v>209.0402</v>
      </c>
      <c r="AP20" s="153">
        <f>SUM(AP9:AP19)</f>
        <v>54169.332439999998</v>
      </c>
      <c r="AQ20" s="150" t="e">
        <f>SUM(AQ9:AQ19)</f>
        <v>#DIV/0!</v>
      </c>
      <c r="AR20" s="15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4" t="s">
        <v>1</v>
      </c>
      <c r="B27" s="194" t="s">
        <v>2</v>
      </c>
      <c r="C27" s="183" t="s">
        <v>84</v>
      </c>
      <c r="D27" s="168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68" t="s">
        <v>53</v>
      </c>
      <c r="U27" s="122"/>
      <c r="V27" s="183" t="s">
        <v>54</v>
      </c>
      <c r="W27" s="168" t="s">
        <v>55</v>
      </c>
      <c r="X27" s="183" t="s">
        <v>56</v>
      </c>
      <c r="Y27" s="168" t="s">
        <v>57</v>
      </c>
      <c r="Z27" s="183" t="s">
        <v>58</v>
      </c>
      <c r="AA27" s="207"/>
      <c r="AB27" s="207"/>
      <c r="AC27" s="204" t="s">
        <v>59</v>
      </c>
      <c r="AD27" s="168" t="s">
        <v>60</v>
      </c>
      <c r="AE27" s="168" t="s">
        <v>60</v>
      </c>
      <c r="AF27" s="168" t="s">
        <v>60</v>
      </c>
      <c r="AG27" s="168" t="s">
        <v>59</v>
      </c>
      <c r="AH27" s="122"/>
      <c r="AI27" s="168" t="s">
        <v>60</v>
      </c>
      <c r="AJ27" s="168" t="s">
        <v>59</v>
      </c>
      <c r="AK27" s="122"/>
      <c r="AL27" s="168" t="s">
        <v>60</v>
      </c>
      <c r="AM27" s="168" t="s">
        <v>85</v>
      </c>
      <c r="AN27" s="183" t="s">
        <v>86</v>
      </c>
      <c r="AO27" s="168" t="s">
        <v>61</v>
      </c>
    </row>
    <row r="28" spans="1:45" ht="12.75" hidden="1" customHeight="1" x14ac:dyDescent="0.2">
      <c r="A28" s="195"/>
      <c r="B28" s="197"/>
      <c r="C28" s="183"/>
      <c r="D28" s="168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68"/>
      <c r="U28" s="122"/>
      <c r="V28" s="183"/>
      <c r="W28" s="168"/>
      <c r="X28" s="183"/>
      <c r="Y28" s="168"/>
      <c r="Z28" s="183"/>
      <c r="AA28" s="208"/>
      <c r="AB28" s="208"/>
      <c r="AC28" s="205"/>
      <c r="AD28" s="168"/>
      <c r="AE28" s="168"/>
      <c r="AF28" s="168"/>
      <c r="AG28" s="168"/>
      <c r="AH28" s="122"/>
      <c r="AI28" s="168"/>
      <c r="AJ28" s="168"/>
      <c r="AK28" s="122"/>
      <c r="AL28" s="168"/>
      <c r="AM28" s="168"/>
      <c r="AN28" s="183"/>
      <c r="AO28" s="168"/>
    </row>
    <row r="29" spans="1:45" ht="34.5" hidden="1" customHeight="1" x14ac:dyDescent="0.2">
      <c r="A29" s="196"/>
      <c r="B29" s="196"/>
      <c r="C29" s="183"/>
      <c r="D29" s="168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68"/>
      <c r="U29" s="122"/>
      <c r="V29" s="183"/>
      <c r="W29" s="168"/>
      <c r="X29" s="183"/>
      <c r="Y29" s="168"/>
      <c r="Z29" s="183"/>
      <c r="AA29" s="209"/>
      <c r="AB29" s="209"/>
      <c r="AC29" s="206"/>
      <c r="AD29" s="168"/>
      <c r="AE29" s="168"/>
      <c r="AF29" s="168"/>
      <c r="AG29" s="168"/>
      <c r="AH29" s="122"/>
      <c r="AI29" s="168"/>
      <c r="AJ29" s="168"/>
      <c r="AK29" s="122"/>
      <c r="AL29" s="168"/>
      <c r="AM29" s="168"/>
      <c r="AN29" s="183"/>
      <c r="AO29" s="168"/>
    </row>
    <row r="30" spans="1:45" ht="14.25" hidden="1" customHeight="1" thickBot="1" x14ac:dyDescent="0.25">
      <c r="A30" s="198" t="s">
        <v>65</v>
      </c>
      <c r="B30" s="199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200"/>
      <c r="B31" s="201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51">C32*D32</f>
        <v>16542.096000000001</v>
      </c>
      <c r="W32" s="78">
        <v>0.06</v>
      </c>
      <c r="X32" s="63">
        <f t="shared" ref="X32:X50" si="52">W32*C32</f>
        <v>2001.06</v>
      </c>
      <c r="Y32" s="60">
        <v>0.40899999999999997</v>
      </c>
      <c r="Z32" s="68">
        <f t="shared" ref="Z32:Z50" si="53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51"/>
        <v>2648.64</v>
      </c>
      <c r="W33" s="78">
        <v>0.15</v>
      </c>
      <c r="X33" s="63">
        <f t="shared" si="52"/>
        <v>801</v>
      </c>
      <c r="Y33" s="60">
        <v>0.40899999999999997</v>
      </c>
      <c r="Z33" s="69">
        <f t="shared" si="53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51"/>
        <v>2518.192</v>
      </c>
      <c r="W34" s="78">
        <v>0.15</v>
      </c>
      <c r="X34" s="63">
        <f t="shared" si="52"/>
        <v>761.55</v>
      </c>
      <c r="Y34" s="60">
        <v>0.40899999999999997</v>
      </c>
      <c r="Z34" s="69">
        <f t="shared" si="53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51"/>
        <v>3154.0639999999999</v>
      </c>
      <c r="W35" s="78">
        <v>0.15</v>
      </c>
      <c r="X35" s="63">
        <f t="shared" si="52"/>
        <v>953.84999999999991</v>
      </c>
      <c r="Y35" s="60">
        <v>0.40899999999999997</v>
      </c>
      <c r="Z35" s="69">
        <f t="shared" si="53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51"/>
        <v>2334.672</v>
      </c>
      <c r="W36" s="78">
        <v>0.2</v>
      </c>
      <c r="X36" s="63">
        <f t="shared" si="52"/>
        <v>941.40000000000009</v>
      </c>
      <c r="Y36" s="60">
        <v>0.40899999999999997</v>
      </c>
      <c r="Z36" s="69">
        <f t="shared" si="53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51"/>
        <v>1121.8125</v>
      </c>
      <c r="W37" s="78">
        <v>0.3</v>
      </c>
      <c r="X37" s="63">
        <f t="shared" si="52"/>
        <v>562.5</v>
      </c>
      <c r="Y37" s="60">
        <v>0.23</v>
      </c>
      <c r="Z37" s="69">
        <f t="shared" si="53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51"/>
        <v>1503.5279</v>
      </c>
      <c r="W38" s="78">
        <v>0.3</v>
      </c>
      <c r="X38" s="63">
        <f t="shared" si="52"/>
        <v>753.9</v>
      </c>
      <c r="Y38" s="60">
        <v>0.23</v>
      </c>
      <c r="Z38" s="69">
        <f t="shared" si="53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51"/>
        <v>355.98850000000004</v>
      </c>
      <c r="W39" s="78">
        <v>0.5</v>
      </c>
      <c r="X39" s="63">
        <f t="shared" si="52"/>
        <v>297.5</v>
      </c>
      <c r="Y39" s="60">
        <v>0.23</v>
      </c>
      <c r="Z39" s="69">
        <f t="shared" si="53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51"/>
        <v>1340.192</v>
      </c>
      <c r="W40" s="78">
        <v>0.3</v>
      </c>
      <c r="X40" s="63">
        <f t="shared" si="52"/>
        <v>672</v>
      </c>
      <c r="Y40" s="60">
        <v>0.23</v>
      </c>
      <c r="Z40" s="69">
        <f t="shared" si="53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51"/>
        <v>230.94380000000001</v>
      </c>
      <c r="W41" s="78">
        <v>0.5</v>
      </c>
      <c r="X41" s="63">
        <f t="shared" si="52"/>
        <v>193</v>
      </c>
      <c r="Y41" s="60">
        <v>0.23</v>
      </c>
      <c r="Z41" s="69">
        <f t="shared" si="53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51"/>
        <v>0</v>
      </c>
      <c r="W42" s="64"/>
      <c r="X42" s="63">
        <f t="shared" si="52"/>
        <v>0</v>
      </c>
      <c r="Y42" s="74"/>
      <c r="Z42" s="63">
        <f t="shared" si="53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51"/>
        <v>0</v>
      </c>
      <c r="W43" s="64"/>
      <c r="X43" s="63">
        <f t="shared" si="52"/>
        <v>0</v>
      </c>
      <c r="Y43" s="74"/>
      <c r="Z43" s="63">
        <f t="shared" si="53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51"/>
        <v>0</v>
      </c>
      <c r="W44" s="64"/>
      <c r="X44" s="63">
        <f t="shared" si="52"/>
        <v>0</v>
      </c>
      <c r="Y44" s="74"/>
      <c r="Z44" s="63">
        <f t="shared" si="53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51"/>
        <v>0</v>
      </c>
      <c r="W45" s="64"/>
      <c r="X45" s="63">
        <f t="shared" si="52"/>
        <v>0</v>
      </c>
      <c r="Y45" s="74"/>
      <c r="Z45" s="63">
        <f t="shared" si="53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51"/>
        <v>0</v>
      </c>
      <c r="W46" s="64"/>
      <c r="X46" s="63">
        <f t="shared" si="52"/>
        <v>0</v>
      </c>
      <c r="Y46" s="74"/>
      <c r="Z46" s="63">
        <f t="shared" si="53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51"/>
        <v>0</v>
      </c>
      <c r="W47" s="64"/>
      <c r="X47" s="63">
        <f t="shared" si="52"/>
        <v>0</v>
      </c>
      <c r="Y47" s="74"/>
      <c r="Z47" s="63">
        <f t="shared" si="53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51"/>
        <v>0</v>
      </c>
      <c r="W48" s="64"/>
      <c r="X48" s="63">
        <f t="shared" si="52"/>
        <v>0</v>
      </c>
      <c r="Y48" s="74"/>
      <c r="Z48" s="63">
        <f t="shared" si="53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51"/>
        <v>0</v>
      </c>
      <c r="W49" s="64"/>
      <c r="X49" s="63">
        <f t="shared" si="52"/>
        <v>0</v>
      </c>
      <c r="Y49" s="74"/>
      <c r="Z49" s="63">
        <f t="shared" si="53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51"/>
        <v>0</v>
      </c>
      <c r="W50" s="64"/>
      <c r="X50" s="63">
        <f t="shared" si="52"/>
        <v>0</v>
      </c>
      <c r="Y50" s="74"/>
      <c r="Z50" s="63">
        <f t="shared" si="53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2" t="s">
        <v>0</v>
      </c>
      <c r="B51" s="203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2023</vt:lpstr>
      <vt:lpstr>ИНП2023</vt:lpstr>
      <vt:lpstr>ИБР2023</vt:lpstr>
      <vt:lpstr>ИБР2023!Заголовки_для_печати</vt:lpstr>
      <vt:lpstr>ИНП2023!Заголовки_для_печати</vt:lpstr>
      <vt:lpstr>'Регион ФФПП 2023'!Заголовки_для_печати</vt:lpstr>
      <vt:lpstr>ИБР2023!Область_печати</vt:lpstr>
      <vt:lpstr>ИНП2023!Область_печати</vt:lpstr>
      <vt:lpstr>'Регион ФФПП 2023'!Область_печати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2018-11-02T13:33:17Z</cp:lastPrinted>
  <dcterms:created xsi:type="dcterms:W3CDTF">1996-11-09T08:12:45Z</dcterms:created>
  <dcterms:modified xsi:type="dcterms:W3CDTF">2020-11-02T11:44:35Z</dcterms:modified>
</cp:coreProperties>
</file>